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 codeName="{C5BBEA04-B48B-DB03-FC8F-E18A6752861A}"/>
  <workbookPr codeName="ThisWorkbook"/>
  <bookViews>
    <workbookView xWindow="65416" yWindow="65416" windowWidth="29040" windowHeight="15840" tabRatio="811" activeTab="0"/>
  </bookViews>
  <sheets>
    <sheet name="Table S1 Fitting Photosynthesis" sheetId="27" r:id="rId1"/>
  </sheets>
  <definedNames>
    <definedName name="solver_adj" localSheetId="0" hidden="1">'Table S1 Fitting Photosynthesis'!$AJ$54:$AJ$55,'Table S1 Fitting Photosynthesis'!$AN$50:$AN$62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'Table S1 Fitting Photosynthesis'!$B$47</definedName>
    <definedName name="solver_lhs10" localSheetId="0" hidden="1">'Table S1 Fitting Photosynthesis'!$B$48</definedName>
    <definedName name="solver_lhs11" localSheetId="0" hidden="1">'Table S1 Fitting Photosynthesis'!$B$48</definedName>
    <definedName name="solver_lhs12" localSheetId="0" hidden="1">'Table S1 Fitting Photosynthesis'!$B$48</definedName>
    <definedName name="solver_lhs13" localSheetId="0" hidden="1">'Table S1 Fitting Photosynthesis'!$B$48</definedName>
    <definedName name="solver_lhs14" localSheetId="0" hidden="1">'Table S1 Fitting Photosynthesis'!$B$48</definedName>
    <definedName name="solver_lhs15" localSheetId="0" hidden="1">'Table S1 Fitting Photosynthesis'!$B$48</definedName>
    <definedName name="solver_lhs16" localSheetId="0" hidden="1">'Table S1 Fitting Photosynthesis'!$B$48</definedName>
    <definedName name="solver_lhs17" localSheetId="0" hidden="1">'Table S1 Fitting Photosynthesis'!$B$48</definedName>
    <definedName name="solver_lhs2" localSheetId="0" hidden="1">'Table S1 Fitting Photosynthesis'!$B$48</definedName>
    <definedName name="solver_lhs3" localSheetId="0" hidden="1">'Table S1 Fitting Photosynthesis'!$B$48</definedName>
    <definedName name="solver_lhs4" localSheetId="0" hidden="1">'Table S1 Fitting Photosynthesis'!$B$48</definedName>
    <definedName name="solver_lhs5" localSheetId="0" hidden="1">'Table S1 Fitting Photosynthesis'!$B$48</definedName>
    <definedName name="solver_lhs6" localSheetId="0" hidden="1">'Table S1 Fitting Photosynthesis'!$B$48</definedName>
    <definedName name="solver_lhs7" localSheetId="0" hidden="1">'Table S1 Fitting Photosynthesis'!$B$48</definedName>
    <definedName name="solver_lhs8" localSheetId="0" hidden="1">'Table S1 Fitting Photosynthesis'!$B$48</definedName>
    <definedName name="solver_lhs9" localSheetId="0" hidden="1">'Table S1 Fitting Photosynthesis'!$B$48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'Table S1 Fitting Photosynthesis'!$AU$63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'Table S1 Fitting Photosynthesis'!$B$51</definedName>
    <definedName name="solver_rhs10" localSheetId="0" hidden="1">2.2</definedName>
    <definedName name="solver_rhs11" localSheetId="0" hidden="1">2.2</definedName>
    <definedName name="solver_rhs12" localSheetId="0" hidden="1">2.2</definedName>
    <definedName name="solver_rhs13" localSheetId="0" hidden="1">2.2</definedName>
    <definedName name="solver_rhs14" localSheetId="0" hidden="1">2.2</definedName>
    <definedName name="solver_rhs15" localSheetId="0" hidden="1">2.2</definedName>
    <definedName name="solver_rhs16" localSheetId="0" hidden="1">2.2</definedName>
    <definedName name="solver_rhs17" localSheetId="0" hidden="1">2.2</definedName>
    <definedName name="solver_rhs2" localSheetId="0" hidden="1">'Table S1 Fitting Photosynthesis'!$B$52</definedName>
    <definedName name="solver_rhs3" localSheetId="0" hidden="1">'Table S1 Fitting Photosynthesis'!$B$52</definedName>
    <definedName name="solver_rhs4" localSheetId="0" hidden="1">2.2</definedName>
    <definedName name="solver_rhs5" localSheetId="0" hidden="1">2.2</definedName>
    <definedName name="solver_rhs6" localSheetId="0" hidden="1">2.2</definedName>
    <definedName name="solver_rhs7" localSheetId="0" hidden="1">2.2</definedName>
    <definedName name="solver_rhs8" localSheetId="0" hidden="1">2.2</definedName>
    <definedName name="solver_rhs9" localSheetId="0" hidden="1">2.2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<sst xmlns="http://schemas.openxmlformats.org/spreadsheetml/2006/main" count="235" uniqueCount="135">
  <si>
    <t>PARi</t>
  </si>
  <si>
    <t>Ci</t>
  </si>
  <si>
    <t>Paste raw data here</t>
  </si>
  <si>
    <t>Filtered raw data</t>
  </si>
  <si>
    <t>PAR</t>
  </si>
  <si>
    <t>Not used in fitting</t>
  </si>
  <si>
    <t>Constants</t>
  </si>
  <si>
    <t>abs</t>
  </si>
  <si>
    <t>f</t>
  </si>
  <si>
    <t>gm25</t>
  </si>
  <si>
    <t>x</t>
  </si>
  <si>
    <t>α</t>
  </si>
  <si>
    <t>Om</t>
  </si>
  <si>
    <t>Rd25</t>
  </si>
  <si>
    <t>Temperature response</t>
  </si>
  <si>
    <t>Kc_P25</t>
  </si>
  <si>
    <t>KcP25</t>
  </si>
  <si>
    <t>Kc_Ea</t>
  </si>
  <si>
    <t>KcEa</t>
  </si>
  <si>
    <t>Ko_P25</t>
  </si>
  <si>
    <t>KoP25</t>
  </si>
  <si>
    <t>Ko_Ea</t>
  </si>
  <si>
    <t>KoEa</t>
  </si>
  <si>
    <t>Vcmax_P25</t>
  </si>
  <si>
    <t>-</t>
  </si>
  <si>
    <t>VcmaxP25</t>
  </si>
  <si>
    <t>Vcmax_Ea</t>
  </si>
  <si>
    <t>VcmaxEa</t>
  </si>
  <si>
    <t>Vcmax/Vomax_P25</t>
  </si>
  <si>
    <t>Vcmax_VomaxP25</t>
  </si>
  <si>
    <t>Vcmax/Vomax_Ea</t>
  </si>
  <si>
    <t>Vcmax_VomaxEa</t>
  </si>
  <si>
    <t>Kp_P25</t>
  </si>
  <si>
    <t>KpP25</t>
  </si>
  <si>
    <t>Kp_Ea</t>
  </si>
  <si>
    <t>KpEa</t>
  </si>
  <si>
    <t>Vpmax_P25</t>
  </si>
  <si>
    <t>VpmaxP25</t>
  </si>
  <si>
    <t>Vpmax_Ea</t>
  </si>
  <si>
    <t>VpmaxEa</t>
  </si>
  <si>
    <t>Rd_P25</t>
  </si>
  <si>
    <t>RdP25</t>
  </si>
  <si>
    <t>Rd_Ea</t>
  </si>
  <si>
    <t>RdEa</t>
  </si>
  <si>
    <t>Jmax_P25</t>
  </si>
  <si>
    <t>JP25</t>
  </si>
  <si>
    <t>Jmax_Tmin</t>
  </si>
  <si>
    <t>JTMin</t>
  </si>
  <si>
    <t>Jmax_Opt</t>
  </si>
  <si>
    <t>JTOpt</t>
  </si>
  <si>
    <t>Jmax_Tmax</t>
  </si>
  <si>
    <t>JTMax</t>
  </si>
  <si>
    <t>Jmax_Cnorm</t>
  </si>
  <si>
    <t>JMaxC</t>
  </si>
  <si>
    <t>Jmax_beta</t>
  </si>
  <si>
    <t>Jbeta</t>
  </si>
  <si>
    <t>Gm_P25</t>
  </si>
  <si>
    <t>GmP25</t>
  </si>
  <si>
    <t>Gm_Tmin</t>
  </si>
  <si>
    <t>GmTMin</t>
  </si>
  <si>
    <t>Gm_Opt</t>
  </si>
  <si>
    <t>GmTOpt</t>
  </si>
  <si>
    <t>Gm_Tmax</t>
  </si>
  <si>
    <t>GmTMax</t>
  </si>
  <si>
    <t>Gm_Cnorm</t>
  </si>
  <si>
    <t>GmMaxC</t>
  </si>
  <si>
    <t>Gm_beta</t>
  </si>
  <si>
    <t>Gmbeta</t>
  </si>
  <si>
    <t xml:space="preserve"> </t>
  </si>
  <si>
    <t>Variables</t>
  </si>
  <si>
    <t>gm(T)</t>
  </si>
  <si>
    <t>Kc(T)</t>
  </si>
  <si>
    <t>Ko(T)</t>
  </si>
  <si>
    <t>Rm(T)</t>
  </si>
  <si>
    <t>Rd(T)</t>
  </si>
  <si>
    <t>γ*(T)</t>
  </si>
  <si>
    <t>Vcmax/Vomax(T)</t>
  </si>
  <si>
    <t>gbs(T)</t>
  </si>
  <si>
    <t>Input parameters</t>
  </si>
  <si>
    <t>theta</t>
  </si>
  <si>
    <t>PSlight_absorption</t>
  </si>
  <si>
    <t>Jmax(T)</t>
  </si>
  <si>
    <t>I</t>
  </si>
  <si>
    <t>I2</t>
  </si>
  <si>
    <t>Jt</t>
  </si>
  <si>
    <t>Cm</t>
  </si>
  <si>
    <t>Aj</t>
  </si>
  <si>
    <t>Total residual</t>
  </si>
  <si>
    <t>Fitted results:</t>
  </si>
  <si>
    <t>Ci/Ca</t>
  </si>
  <si>
    <t>Ca</t>
  </si>
  <si>
    <t>gsw</t>
  </si>
  <si>
    <t>Data ID</t>
  </si>
  <si>
    <t>Weighting</t>
  </si>
  <si>
    <t>Ac1</t>
  </si>
  <si>
    <t>Kp(T)</t>
  </si>
  <si>
    <t>Input parameter</t>
  </si>
  <si>
    <t>Vpmax(T)</t>
  </si>
  <si>
    <t>Vcmax(T)</t>
  </si>
  <si>
    <t>Residual between Ac1 and observed</t>
  </si>
  <si>
    <t>b</t>
  </si>
  <si>
    <t>x3</t>
  </si>
  <si>
    <t>x4</t>
  </si>
  <si>
    <t>x5</t>
  </si>
  <si>
    <t>x6</t>
  </si>
  <si>
    <t>x7</t>
  </si>
  <si>
    <t>x8</t>
  </si>
  <si>
    <t>x9</t>
  </si>
  <si>
    <t>1/gm(T)</t>
  </si>
  <si>
    <t>α/0.047</t>
  </si>
  <si>
    <t>Kc(T)/Ko(T)</t>
  </si>
  <si>
    <t>KCc(T)</t>
  </si>
  <si>
    <t>Vpmax/(Cm+Kp)</t>
  </si>
  <si>
    <t>a</t>
  </si>
  <si>
    <t>c</t>
  </si>
  <si>
    <t>d</t>
  </si>
  <si>
    <t>Cm'</t>
  </si>
  <si>
    <t>Residual between Cm' and calculated Cm</t>
  </si>
  <si>
    <t>Additional ones for Aj curve</t>
  </si>
  <si>
    <t>Anet</t>
  </si>
  <si>
    <t>Point</t>
  </si>
  <si>
    <t>Blank</t>
  </si>
  <si>
    <t>(1-x)*J/3</t>
  </si>
  <si>
    <t>7/3*γ*(T)</t>
  </si>
  <si>
    <t>φ</t>
  </si>
  <si>
    <t>theta lower limit</t>
  </si>
  <si>
    <t>PSlight_absorption upper limit</t>
  </si>
  <si>
    <t>Optimise Ac1 separately</t>
  </si>
  <si>
    <t>Optimise Anet</t>
  </si>
  <si>
    <t>Jmax(T) lower limit</t>
  </si>
  <si>
    <t>Jmax(T) upper limit</t>
  </si>
  <si>
    <t>Jmax(T) mean</t>
  </si>
  <si>
    <t>Plot_272</t>
  </si>
  <si>
    <t>LeafTemperature</t>
  </si>
  <si>
    <r>
      <t xml:space="preserve">Table S1 (Wu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,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</si>
</sst>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i/>
      <sz val="12"/>
      <color theme="1"/>
      <name val="Arial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+mn-cs"/>
      <family val="2"/>
    </font>
    <font>
      <sz val="32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+mn-cs"/>
      <family val="2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2" xfId="0" applyFont="1" applyBorder="1"/>
    <xf numFmtId="1" fontId="7" fillId="0" borderId="2" xfId="0" applyNumberFormat="1" applyFont="1" applyBorder="1"/>
    <xf numFmtId="0" fontId="3" fillId="0" borderId="2" xfId="0" applyFont="1" applyBorder="1"/>
    <xf numFmtId="0" fontId="5" fillId="0" borderId="4" xfId="0" applyFont="1" applyBorder="1"/>
    <xf numFmtId="0" fontId="5" fillId="0" borderId="0" xfId="0" applyFont="1" applyBorder="1"/>
    <xf numFmtId="1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Fill="1" applyBorder="1"/>
    <xf numFmtId="0" fontId="3" fillId="0" borderId="0" xfId="0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 applyFill="1" applyBorder="1"/>
    <xf numFmtId="2" fontId="6" fillId="0" borderId="0" xfId="0" applyNumberFormat="1" applyFont="1" applyBorder="1"/>
    <xf numFmtId="2" fontId="5" fillId="0" borderId="0" xfId="0" applyNumberFormat="1" applyFont="1" applyBorder="1"/>
    <xf numFmtId="0" fontId="6" fillId="0" borderId="0" xfId="0" applyFont="1" applyBorder="1"/>
    <xf numFmtId="0" fontId="5" fillId="0" borderId="6" xfId="0" applyFont="1" applyBorder="1"/>
    <xf numFmtId="0" fontId="5" fillId="0" borderId="7" xfId="0" applyFont="1" applyBorder="1"/>
    <xf numFmtId="2" fontId="6" fillId="0" borderId="7" xfId="0" applyNumberFormat="1" applyFont="1" applyBorder="1"/>
    <xf numFmtId="0" fontId="5" fillId="0" borderId="7" xfId="0" applyFont="1" applyFill="1" applyBorder="1"/>
    <xf numFmtId="2" fontId="5" fillId="0" borderId="7" xfId="0" applyNumberFormat="1" applyFont="1" applyBorder="1"/>
    <xf numFmtId="0" fontId="4" fillId="0" borderId="7" xfId="0" applyFont="1" applyBorder="1"/>
    <xf numFmtId="0" fontId="3" fillId="0" borderId="0" xfId="0" applyFont="1" applyFill="1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/>
    </xf>
    <xf numFmtId="0" fontId="0" fillId="0" borderId="0" xfId="0" applyFont="1"/>
    <xf numFmtId="0" fontId="8" fillId="0" borderId="0" xfId="0" applyFont="1"/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Photosynthetic light response @            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'Table S1 Fitting Photosynthesis'!$C$19</c:f>
              <c:strCache>
                <c:ptCount val="1"/>
                <c:pt idx="0">
                  <c:v>Plot_272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Photosynthesis'!$B$20:$B$30</c:f>
              <c:numCache/>
            </c:numRef>
          </c:xVal>
          <c:yVal>
            <c:numRef>
              <c:f>'Table S1 Fitting Photosynthesis'!$C$20:$C$30</c:f>
              <c:numCache/>
            </c:numRef>
          </c:yVal>
          <c:smooth val="0"/>
        </c:ser>
        <c:ser>
          <c:idx val="1"/>
          <c:order val="1"/>
          <c:tx>
            <c:strRef>
              <c:f>'Table S1 Fitting Photosynthesis'!$T$46</c:f>
              <c:strCache>
                <c:ptCount val="1"/>
                <c:pt idx="0">
                  <c:v>Aj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Photosynthesis'!$D$47:$D$55</c:f>
              <c:numCache/>
            </c:numRef>
          </c:xVal>
          <c:yVal>
            <c:numRef>
              <c:f>'Table S1 Fitting Photosynthesis'!$T$47:$T$55</c:f>
              <c:numCache/>
            </c:numRef>
          </c:yVal>
          <c:smooth val="0"/>
        </c:ser>
        <c:axId val="47540564"/>
        <c:axId val="25211893"/>
      </c:scatterChart>
      <c:valAx>
        <c:axId val="47540564"/>
        <c:scaling>
          <c:orientation val="minMax"/>
          <c:max val="2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211893"/>
        <c:crosses val="autoZero"/>
        <c:crossBetween val="midCat"/>
        <c:dispUnits/>
        <c:majorUnit val="500"/>
      </c:valAx>
      <c:valAx>
        <c:axId val="25211893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Assimilation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5405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6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Photosynthetic CO2 response @            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2975"/>
          <c:w val="0.77125"/>
          <c:h val="0.6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 S1 Fitting Photosynthesis'!$AK$19</c:f>
              <c:strCache>
                <c:ptCount val="1"/>
                <c:pt idx="0">
                  <c:v>Plot_272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Photosynthesis'!$AI$20:$AI$32</c:f>
              <c:numCache/>
            </c:numRef>
          </c:xVal>
          <c:yVal>
            <c:numRef>
              <c:f>'Table S1 Fitting Photosynthesis'!$AK$20:$AK$32</c:f>
              <c:numCache/>
            </c:numRef>
          </c:yVal>
          <c:smooth val="0"/>
        </c:ser>
        <c:ser>
          <c:idx val="1"/>
          <c:order val="1"/>
          <c:tx>
            <c:strRef>
              <c:f>'Table S1 Fitting Photosynthesis'!$BO$75</c:f>
              <c:strCache>
                <c:ptCount val="1"/>
                <c:pt idx="0">
                  <c:v>Ac1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B0F0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Photosynthesis'!$AQ$76:$AQ$88</c:f>
              <c:numCache/>
            </c:numRef>
          </c:xVal>
          <c:yVal>
            <c:numRef>
              <c:f>'Table S1 Fitting Photosynthesis'!$BO$76:$BO$88</c:f>
              <c:numCache/>
            </c:numRef>
          </c:yVal>
          <c:smooth val="0"/>
        </c:ser>
        <c:ser>
          <c:idx val="3"/>
          <c:order val="2"/>
          <c:spPr>
            <a:ln w="2540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Photosynthesis'!$AQ$92:$AQ$104</c:f>
              <c:numCache/>
            </c:numRef>
          </c:xVal>
          <c:yVal>
            <c:numRef>
              <c:f>'Table S1 Fitting Photosynthesis'!$BO$92:$BO$104</c:f>
              <c:numCache/>
            </c:numRef>
          </c:yVal>
          <c:smooth val="0"/>
        </c:ser>
        <c:ser>
          <c:idx val="4"/>
          <c:order val="3"/>
          <c:tx>
            <c:strRef>
              <c:f>'Table S1 Fitting Photosynthesis'!$BE$49</c:f>
              <c:strCache>
                <c:ptCount val="1"/>
                <c:pt idx="0">
                  <c:v>Anet</c:v>
                </c:pt>
              </c:strCache>
            </c:strRef>
          </c:tx>
          <c:spPr>
            <a:ln w="63500" cap="rnd">
              <a:solidFill>
                <a:srgbClr val="7030A0">
                  <a:alpha val="40000"/>
                </a:srgb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'Table S1 Fitting Photosynthesis'!$AQ$76:$AQ$88</c:f>
              <c:numCache/>
            </c:numRef>
          </c:xVal>
          <c:yVal>
            <c:numRef>
              <c:f>'Table S1 Fitting Photosynthesis'!$BE$50:$BE$62</c:f>
              <c:numCache/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897423"/>
        <c:crosses val="autoZero"/>
        <c:crossBetween val="midCat"/>
        <c:dispUnits/>
        <c:majorUnit val="200"/>
      </c:valAx>
      <c:valAx>
        <c:axId val="2889742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Assimilation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5804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"/>
          <c:y val="0.55225"/>
          <c:w val="0.616"/>
          <c:h val="0.225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60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0.0155</cdr:y>
    </cdr:from>
    <cdr:to>
      <cdr:x>0.75975</cdr:x>
      <cdr:y>0.0985</cdr:y>
    </cdr:to>
    <cdr:sp macro="" textlink="'Table S1 Fitting Photosynthesis'!$B$34">
      <cdr:nvSpPr>
        <cdr:cNvPr id="2" name="Rounded Rectangle 1"/>
        <cdr:cNvSpPr/>
      </cdr:nvSpPr>
      <cdr:spPr>
        <a:xfrm>
          <a:off x="4962525" y="76200"/>
          <a:ext cx="552450" cy="419100"/>
        </a:xfrm>
        <a:prstGeom prst="roundRect">
          <a:avLst/>
        </a:prstGeom>
        <a:ln>
          <a:headEnd type="none"/>
          <a:tailEnd type="none"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lIns="0" tIns="0" rIns="0" bIns="0" anchor="ctr"/>
        <a:lstStyle/>
        <a:p>
          <a:pPr algn="ctr"/>
          <a:fld id="{882CD58B-A980-42CC-889F-315E5672C201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</a:t>
          </a:fld>
          <a:endParaRPr lang="en-US" sz="20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0.01</cdr:y>
    </cdr:from>
    <cdr:to>
      <cdr:x>0.8365</cdr:x>
      <cdr:y>0.093</cdr:y>
    </cdr:to>
    <cdr:sp macro="" textlink="'Table S1 Fitting Photosynthesis'!$AJ$34">
      <cdr:nvSpPr>
        <cdr:cNvPr id="2" name="Rounded Rectangle 1"/>
        <cdr:cNvSpPr/>
      </cdr:nvSpPr>
      <cdr:spPr>
        <a:xfrm>
          <a:off x="4057650" y="47625"/>
          <a:ext cx="400050" cy="400050"/>
        </a:xfrm>
        <a:prstGeom prst="roundRect">
          <a:avLst/>
        </a:prstGeom>
        <a:ln>
          <a:headEnd type="none"/>
          <a:tailEnd type="none"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lIns="0" tIns="0" rIns="0" bIns="0" anchor="ctr"/>
        <a:lstStyle/>
        <a:p>
          <a:pPr algn="ctr"/>
          <a:fld id="{52EDA532-5CB1-457C-95D8-21168114882B}" type="TxLink">
            <a:rPr lang="en-US" sz="2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34.344</a:t>
          </a:fld>
          <a:endParaRPr 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18</xdr:row>
      <xdr:rowOff>123825</xdr:rowOff>
    </xdr:from>
    <xdr:to>
      <xdr:col>21</xdr:col>
      <xdr:colOff>66675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5572125" y="3581400"/>
        <a:ext cx="7258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590550</xdr:colOff>
      <xdr:row>2</xdr:row>
      <xdr:rowOff>171450</xdr:rowOff>
    </xdr:to>
    <xdr:sp macro="" textlink="">
      <xdr:nvSpPr>
        <xdr:cNvPr id="7" name="Oval 6"/>
        <xdr:cNvSpPr/>
      </xdr:nvSpPr>
      <xdr:spPr>
        <a:xfrm>
          <a:off x="5514975" y="0"/>
          <a:ext cx="561975" cy="56197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8</xdr:col>
      <xdr:colOff>552450</xdr:colOff>
      <xdr:row>15</xdr:row>
      <xdr:rowOff>9525</xdr:rowOff>
    </xdr:from>
    <xdr:to>
      <xdr:col>9</xdr:col>
      <xdr:colOff>504825</xdr:colOff>
      <xdr:row>17</xdr:row>
      <xdr:rowOff>180975</xdr:rowOff>
    </xdr:to>
    <xdr:sp macro="" textlink="">
      <xdr:nvSpPr>
        <xdr:cNvPr id="8" name="Oval 7"/>
        <xdr:cNvSpPr/>
      </xdr:nvSpPr>
      <xdr:spPr>
        <a:xfrm>
          <a:off x="5429250" y="2876550"/>
          <a:ext cx="561975" cy="561975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10</xdr:col>
      <xdr:colOff>28575</xdr:colOff>
      <xdr:row>15</xdr:row>
      <xdr:rowOff>47625</xdr:rowOff>
    </xdr:from>
    <xdr:to>
      <xdr:col>17</xdr:col>
      <xdr:colOff>171450</xdr:colOff>
      <xdr:row>17</xdr:row>
      <xdr:rowOff>180975</xdr:rowOff>
    </xdr:to>
    <xdr:sp macro="" textlink="">
      <xdr:nvSpPr>
        <xdr:cNvPr id="9" name="Rounded Rectangle 8"/>
        <xdr:cNvSpPr/>
      </xdr:nvSpPr>
      <xdr:spPr>
        <a:xfrm>
          <a:off x="6124575" y="2914650"/>
          <a:ext cx="4371975" cy="5238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Here,</a:t>
          </a:r>
          <a:r>
            <a:rPr lang="en-AU" sz="1100" baseline="0"/>
            <a:t> we are aimming for data points with consistent intervals. Here it is ~ 250 PAR. So we remove the few data points from the fitting</a:t>
          </a:r>
          <a:endParaRPr lang="en-AU" sz="1100"/>
        </a:p>
      </xdr:txBody>
    </xdr:sp>
    <xdr:clientData/>
  </xdr:twoCellAnchor>
  <xdr:twoCellAnchor>
    <xdr:from>
      <xdr:col>2</xdr:col>
      <xdr:colOff>171450</xdr:colOff>
      <xdr:row>31</xdr:row>
      <xdr:rowOff>152400</xdr:rowOff>
    </xdr:from>
    <xdr:to>
      <xdr:col>3</xdr:col>
      <xdr:colOff>123825</xdr:colOff>
      <xdr:row>34</xdr:row>
      <xdr:rowOff>142875</xdr:rowOff>
    </xdr:to>
    <xdr:sp macro="" textlink="">
      <xdr:nvSpPr>
        <xdr:cNvPr id="10" name="Oval 9"/>
        <xdr:cNvSpPr/>
      </xdr:nvSpPr>
      <xdr:spPr>
        <a:xfrm>
          <a:off x="1390650" y="6086475"/>
          <a:ext cx="561975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3</xdr:col>
      <xdr:colOff>276225</xdr:colOff>
      <xdr:row>32</xdr:row>
      <xdr:rowOff>133350</xdr:rowOff>
    </xdr:from>
    <xdr:to>
      <xdr:col>7</xdr:col>
      <xdr:colOff>428625</xdr:colOff>
      <xdr:row>34</xdr:row>
      <xdr:rowOff>85725</xdr:rowOff>
    </xdr:to>
    <xdr:sp macro="" textlink="">
      <xdr:nvSpPr>
        <xdr:cNvPr id="17" name="Rounded Rectangle 16"/>
        <xdr:cNvSpPr/>
      </xdr:nvSpPr>
      <xdr:spPr>
        <a:xfrm>
          <a:off x="2105025" y="6267450"/>
          <a:ext cx="2590800" cy="3333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Set leaf temperature</a:t>
          </a:r>
          <a:r>
            <a:rPr lang="en-AU" sz="1100" baseline="0"/>
            <a:t> for the data set</a:t>
          </a:r>
          <a:endParaRPr lang="en-AU" sz="1100"/>
        </a:p>
      </xdr:txBody>
    </xdr:sp>
    <xdr:clientData/>
  </xdr:twoCellAnchor>
  <xdr:twoCellAnchor>
    <xdr:from>
      <xdr:col>43</xdr:col>
      <xdr:colOff>0</xdr:colOff>
      <xdr:row>18</xdr:row>
      <xdr:rowOff>0</xdr:rowOff>
    </xdr:from>
    <xdr:to>
      <xdr:col>51</xdr:col>
      <xdr:colOff>457200</xdr:colOff>
      <xdr:row>43</xdr:row>
      <xdr:rowOff>76200</xdr:rowOff>
    </xdr:to>
    <xdr:graphicFrame macro="">
      <xdr:nvGraphicFramePr>
        <xdr:cNvPr id="19" name="Chart 18"/>
        <xdr:cNvGraphicFramePr/>
      </xdr:nvGraphicFramePr>
      <xdr:xfrm>
        <a:off x="26146125" y="3457575"/>
        <a:ext cx="53340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209550</xdr:colOff>
      <xdr:row>64</xdr:row>
      <xdr:rowOff>0</xdr:rowOff>
    </xdr:from>
    <xdr:to>
      <xdr:col>44</xdr:col>
      <xdr:colOff>142875</xdr:colOff>
      <xdr:row>67</xdr:row>
      <xdr:rowOff>0</xdr:rowOff>
    </xdr:to>
    <xdr:sp macro="[0]!Rep_1_Opt_Cm_dash" textlink="">
      <xdr:nvSpPr>
        <xdr:cNvPr id="20" name="Rounded Rectangle 19"/>
        <xdr:cNvSpPr/>
      </xdr:nvSpPr>
      <xdr:spPr>
        <a:xfrm>
          <a:off x="25774650" y="12230100"/>
          <a:ext cx="1123950" cy="571500"/>
        </a:xfrm>
        <a:prstGeom prst="roundRect">
          <a:avLst/>
        </a:prstGeom>
        <a:solidFill>
          <a:srgbClr val="FFFF00"/>
        </a:solidFill>
        <a:ln w="38100"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Rep_1_Opt_Cm_dash</a:t>
          </a:r>
        </a:p>
      </xdr:txBody>
    </xdr:sp>
    <xdr:clientData/>
  </xdr:twoCellAnchor>
  <xdr:twoCellAnchor>
    <xdr:from>
      <xdr:col>45</xdr:col>
      <xdr:colOff>152400</xdr:colOff>
      <xdr:row>64</xdr:row>
      <xdr:rowOff>28575</xdr:rowOff>
    </xdr:from>
    <xdr:to>
      <xdr:col>47</xdr:col>
      <xdr:colOff>104775</xdr:colOff>
      <xdr:row>66</xdr:row>
      <xdr:rowOff>161925</xdr:rowOff>
    </xdr:to>
    <xdr:sp macro="[0]!Rep_1_Opt_Ac1_fitting" textlink="">
      <xdr:nvSpPr>
        <xdr:cNvPr id="21" name="Rounded Rectangle 20"/>
        <xdr:cNvSpPr/>
      </xdr:nvSpPr>
      <xdr:spPr>
        <a:xfrm>
          <a:off x="27517725" y="12258675"/>
          <a:ext cx="1171575" cy="514350"/>
        </a:xfrm>
        <a:prstGeom prst="roundRect">
          <a:avLst/>
        </a:prstGeom>
        <a:solidFill>
          <a:srgbClr val="FFFFFF"/>
        </a:solidFill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Rep_1_Opt_Ac1_fitting</a:t>
          </a:r>
        </a:p>
      </xdr:txBody>
    </xdr:sp>
    <xdr:clientData/>
  </xdr:twoCellAnchor>
  <xdr:twoCellAnchor>
    <xdr:from>
      <xdr:col>58</xdr:col>
      <xdr:colOff>171450</xdr:colOff>
      <xdr:row>64</xdr:row>
      <xdr:rowOff>47625</xdr:rowOff>
    </xdr:from>
    <xdr:to>
      <xdr:col>60</xdr:col>
      <xdr:colOff>247650</xdr:colOff>
      <xdr:row>67</xdr:row>
      <xdr:rowOff>47625</xdr:rowOff>
    </xdr:to>
    <xdr:sp macro="[0]!Rep_1_Opt_Anet_fitting" textlink="">
      <xdr:nvSpPr>
        <xdr:cNvPr id="22" name="Rounded Rectangle 21"/>
        <xdr:cNvSpPr/>
      </xdr:nvSpPr>
      <xdr:spPr>
        <a:xfrm>
          <a:off x="35461575" y="12277725"/>
          <a:ext cx="1266825" cy="571500"/>
        </a:xfrm>
        <a:prstGeom prst="roundRect">
          <a:avLst/>
        </a:prstGeom>
        <a:solidFill>
          <a:srgbClr val="ED7D31"/>
        </a:solidFill>
        <a:ln w="38100"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Rep_1_Opt_Anet_fitting</a:t>
          </a:r>
        </a:p>
      </xdr:txBody>
    </xdr:sp>
    <xdr:clientData/>
  </xdr:twoCellAnchor>
  <xdr:twoCellAnchor>
    <xdr:from>
      <xdr:col>36</xdr:col>
      <xdr:colOff>381000</xdr:colOff>
      <xdr:row>60</xdr:row>
      <xdr:rowOff>0</xdr:rowOff>
    </xdr:from>
    <xdr:to>
      <xdr:col>39</xdr:col>
      <xdr:colOff>419100</xdr:colOff>
      <xdr:row>61</xdr:row>
      <xdr:rowOff>142875</xdr:rowOff>
    </xdr:to>
    <xdr:sp macro="" textlink="">
      <xdr:nvSpPr>
        <xdr:cNvPr id="23" name="Rounded Rectangular Callout 22"/>
        <xdr:cNvSpPr/>
      </xdr:nvSpPr>
      <xdr:spPr>
        <a:xfrm>
          <a:off x="22288500" y="11468100"/>
          <a:ext cx="1866900" cy="333375"/>
        </a:xfrm>
        <a:prstGeom prst="wedgeRoundRectCallout">
          <a:avLst>
            <a:gd name="adj1" fmla="val -66481"/>
            <a:gd name="adj2" fmla="val -195522"/>
            <a:gd name="adj3" fmla="val 16667"/>
          </a:avLst>
        </a:prstGeom>
        <a:solidFill>
          <a:srgbClr val="000000">
            <a:alpha val="20000"/>
          </a:srgbClr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Values taken from the AI fit</a:t>
          </a:r>
          <a:endParaRPr lang="en-AU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24</xdr:col>
      <xdr:colOff>57150</xdr:colOff>
      <xdr:row>54</xdr:row>
      <xdr:rowOff>19050</xdr:rowOff>
    </xdr:from>
    <xdr:to>
      <xdr:col>25</xdr:col>
      <xdr:colOff>523875</xdr:colOff>
      <xdr:row>56</xdr:row>
      <xdr:rowOff>152400</xdr:rowOff>
    </xdr:to>
    <xdr:sp macro="[0]!Rep_1_Opt_Aj_fitting_ii" textlink="">
      <xdr:nvSpPr>
        <xdr:cNvPr id="24" name="Rounded Rectangle 23"/>
        <xdr:cNvSpPr/>
      </xdr:nvSpPr>
      <xdr:spPr>
        <a:xfrm>
          <a:off x="14649450" y="10344150"/>
          <a:ext cx="1076325" cy="514350"/>
        </a:xfrm>
        <a:prstGeom prst="roundRect">
          <a:avLst/>
        </a:prstGeom>
        <a:solidFill>
          <a:srgbClr val="FFFF00"/>
        </a:solidFill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Rep_1_Opt_Aj_fitting_ii</a:t>
          </a:r>
        </a:p>
      </xdr:txBody>
    </xdr:sp>
    <xdr:clientData/>
  </xdr:twoCellAnchor>
  <xdr:twoCellAnchor>
    <xdr:from>
      <xdr:col>23</xdr:col>
      <xdr:colOff>76200</xdr:colOff>
      <xdr:row>55</xdr:row>
      <xdr:rowOff>85725</xdr:rowOff>
    </xdr:from>
    <xdr:to>
      <xdr:col>24</xdr:col>
      <xdr:colOff>57150</xdr:colOff>
      <xdr:row>55</xdr:row>
      <xdr:rowOff>104775</xdr:rowOff>
    </xdr:to>
    <xdr:cxnSp macro="">
      <xdr:nvCxnSpPr>
        <xdr:cNvPr id="25" name="Straight Arrow Connector 24"/>
        <xdr:cNvCxnSpPr>
          <a:stCxn id="24" idx="1"/>
        </xdr:cNvCxnSpPr>
      </xdr:nvCxnSpPr>
      <xdr:spPr>
        <a:xfrm flipH="1">
          <a:off x="14058900" y="10601325"/>
          <a:ext cx="590550" cy="19050"/>
        </a:xfrm>
        <a:prstGeom prst="straightConnector1">
          <a:avLst/>
        </a:prstGeom>
        <a:ln w="3810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19050</xdr:rowOff>
    </xdr:from>
    <xdr:to>
      <xdr:col>26</xdr:col>
      <xdr:colOff>552450</xdr:colOff>
      <xdr:row>57</xdr:row>
      <xdr:rowOff>19050</xdr:rowOff>
    </xdr:to>
    <xdr:sp macro="" textlink="">
      <xdr:nvSpPr>
        <xdr:cNvPr id="26" name="Oval 25"/>
        <xdr:cNvSpPr/>
      </xdr:nvSpPr>
      <xdr:spPr>
        <a:xfrm>
          <a:off x="15811500" y="10344150"/>
          <a:ext cx="552450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27</xdr:col>
      <xdr:colOff>66675</xdr:colOff>
      <xdr:row>53</xdr:row>
      <xdr:rowOff>0</xdr:rowOff>
    </xdr:from>
    <xdr:to>
      <xdr:col>32</xdr:col>
      <xdr:colOff>0</xdr:colOff>
      <xdr:row>57</xdr:row>
      <xdr:rowOff>19050</xdr:rowOff>
    </xdr:to>
    <xdr:sp macro="" textlink="">
      <xdr:nvSpPr>
        <xdr:cNvPr id="27" name="Rounded Rectangle 26"/>
        <xdr:cNvSpPr/>
      </xdr:nvSpPr>
      <xdr:spPr>
        <a:xfrm>
          <a:off x="16487775" y="10134600"/>
          <a:ext cx="2981325" cy="7810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</a:t>
          </a:r>
          <a:r>
            <a:rPr lang="en-AU" sz="1100" baseline="0"/>
            <a:t> the  retangle button to optimise AI fitting. The aim is to seek smallest Total residual possible.</a:t>
          </a:r>
          <a:endParaRPr lang="en-AU" sz="1100"/>
        </a:p>
      </xdr:txBody>
    </xdr:sp>
    <xdr:clientData/>
  </xdr:twoCellAnchor>
  <xdr:twoCellAnchor>
    <xdr:from>
      <xdr:col>26</xdr:col>
      <xdr:colOff>9525</xdr:colOff>
      <xdr:row>58</xdr:row>
      <xdr:rowOff>19050</xdr:rowOff>
    </xdr:from>
    <xdr:to>
      <xdr:col>26</xdr:col>
      <xdr:colOff>561975</xdr:colOff>
      <xdr:row>61</xdr:row>
      <xdr:rowOff>19050</xdr:rowOff>
    </xdr:to>
    <xdr:sp macro="" textlink="">
      <xdr:nvSpPr>
        <xdr:cNvPr id="28" name="Oval 27"/>
        <xdr:cNvSpPr/>
      </xdr:nvSpPr>
      <xdr:spPr>
        <a:xfrm>
          <a:off x="15821025" y="11106150"/>
          <a:ext cx="552450" cy="571500"/>
        </a:xfrm>
        <a:prstGeom prst="ellipse">
          <a:avLst/>
        </a:prstGeom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43</xdr:col>
      <xdr:colOff>85725</xdr:colOff>
      <xdr:row>0</xdr:row>
      <xdr:rowOff>0</xdr:rowOff>
    </xdr:from>
    <xdr:to>
      <xdr:col>44</xdr:col>
      <xdr:colOff>38100</xdr:colOff>
      <xdr:row>2</xdr:row>
      <xdr:rowOff>171450</xdr:rowOff>
    </xdr:to>
    <xdr:sp macro="" textlink="">
      <xdr:nvSpPr>
        <xdr:cNvPr id="30" name="Oval 29"/>
        <xdr:cNvSpPr/>
      </xdr:nvSpPr>
      <xdr:spPr>
        <a:xfrm>
          <a:off x="26231850" y="0"/>
          <a:ext cx="561975" cy="56197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1</a:t>
          </a:r>
        </a:p>
      </xdr:txBody>
    </xdr:sp>
    <xdr:clientData/>
  </xdr:twoCellAnchor>
  <xdr:twoCellAnchor>
    <xdr:from>
      <xdr:col>43</xdr:col>
      <xdr:colOff>104775</xdr:colOff>
      <xdr:row>15</xdr:row>
      <xdr:rowOff>66675</xdr:rowOff>
    </xdr:from>
    <xdr:to>
      <xdr:col>44</xdr:col>
      <xdr:colOff>47625</xdr:colOff>
      <xdr:row>18</xdr:row>
      <xdr:rowOff>47625</xdr:rowOff>
    </xdr:to>
    <xdr:sp macro="" textlink="">
      <xdr:nvSpPr>
        <xdr:cNvPr id="31" name="Oval 30"/>
        <xdr:cNvSpPr/>
      </xdr:nvSpPr>
      <xdr:spPr>
        <a:xfrm>
          <a:off x="26250900" y="2933700"/>
          <a:ext cx="552450" cy="571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2</a:t>
          </a:r>
        </a:p>
      </xdr:txBody>
    </xdr:sp>
    <xdr:clientData/>
  </xdr:twoCellAnchor>
  <xdr:twoCellAnchor>
    <xdr:from>
      <xdr:col>36</xdr:col>
      <xdr:colOff>219075</xdr:colOff>
      <xdr:row>32</xdr:row>
      <xdr:rowOff>38100</xdr:rowOff>
    </xdr:from>
    <xdr:to>
      <xdr:col>37</xdr:col>
      <xdr:colOff>161925</xdr:colOff>
      <xdr:row>35</xdr:row>
      <xdr:rowOff>47625</xdr:rowOff>
    </xdr:to>
    <xdr:sp macro="" textlink="">
      <xdr:nvSpPr>
        <xdr:cNvPr id="32" name="Oval 31"/>
        <xdr:cNvSpPr/>
      </xdr:nvSpPr>
      <xdr:spPr>
        <a:xfrm>
          <a:off x="22126575" y="6172200"/>
          <a:ext cx="552450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3</a:t>
          </a:r>
        </a:p>
      </xdr:txBody>
    </xdr:sp>
    <xdr:clientData/>
  </xdr:twoCellAnchor>
  <xdr:twoCellAnchor>
    <xdr:from>
      <xdr:col>42</xdr:col>
      <xdr:colOff>314325</xdr:colOff>
      <xdr:row>67</xdr:row>
      <xdr:rowOff>95250</xdr:rowOff>
    </xdr:from>
    <xdr:to>
      <xdr:col>43</xdr:col>
      <xdr:colOff>276225</xdr:colOff>
      <xdr:row>70</xdr:row>
      <xdr:rowOff>104775</xdr:rowOff>
    </xdr:to>
    <xdr:sp macro="" textlink="">
      <xdr:nvSpPr>
        <xdr:cNvPr id="34" name="Oval 33"/>
        <xdr:cNvSpPr/>
      </xdr:nvSpPr>
      <xdr:spPr>
        <a:xfrm>
          <a:off x="25879425" y="12896850"/>
          <a:ext cx="542925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4</a:t>
          </a:r>
        </a:p>
      </xdr:txBody>
    </xdr:sp>
    <xdr:clientData/>
  </xdr:twoCellAnchor>
  <xdr:twoCellAnchor>
    <xdr:from>
      <xdr:col>43</xdr:col>
      <xdr:colOff>371475</xdr:colOff>
      <xdr:row>68</xdr:row>
      <xdr:rowOff>9525</xdr:rowOff>
    </xdr:from>
    <xdr:to>
      <xdr:col>47</xdr:col>
      <xdr:colOff>276225</xdr:colOff>
      <xdr:row>70</xdr:row>
      <xdr:rowOff>66675</xdr:rowOff>
    </xdr:to>
    <xdr:sp macro="" textlink="">
      <xdr:nvSpPr>
        <xdr:cNvPr id="35" name="Rounded Rectangle 34"/>
        <xdr:cNvSpPr/>
      </xdr:nvSpPr>
      <xdr:spPr>
        <a:xfrm>
          <a:off x="26517600" y="13001625"/>
          <a:ext cx="2343150" cy="438150"/>
        </a:xfrm>
        <a:prstGeom prst="roundRect">
          <a:avLst/>
        </a:prstGeom>
        <a:solidFill>
          <a:srgbClr val="0070C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Quick convergent</a:t>
          </a:r>
          <a:r>
            <a:rPr lang="en-AU" sz="1100" baseline="0"/>
            <a:t> of Cm'</a:t>
          </a:r>
          <a:endParaRPr lang="en-AU" sz="1100"/>
        </a:p>
      </xdr:txBody>
    </xdr:sp>
    <xdr:clientData/>
  </xdr:twoCellAnchor>
  <xdr:twoCellAnchor>
    <xdr:from>
      <xdr:col>60</xdr:col>
      <xdr:colOff>485775</xdr:colOff>
      <xdr:row>61</xdr:row>
      <xdr:rowOff>142875</xdr:rowOff>
    </xdr:from>
    <xdr:to>
      <xdr:col>61</xdr:col>
      <xdr:colOff>428625</xdr:colOff>
      <xdr:row>64</xdr:row>
      <xdr:rowOff>142875</xdr:rowOff>
    </xdr:to>
    <xdr:sp macro="" textlink="">
      <xdr:nvSpPr>
        <xdr:cNvPr id="36" name="Oval 35"/>
        <xdr:cNvSpPr/>
      </xdr:nvSpPr>
      <xdr:spPr>
        <a:xfrm>
          <a:off x="36966525" y="11801475"/>
          <a:ext cx="552450" cy="5715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5</a:t>
          </a:r>
        </a:p>
      </xdr:txBody>
    </xdr:sp>
    <xdr:clientData/>
  </xdr:twoCellAnchor>
  <xdr:twoCellAnchor>
    <xdr:from>
      <xdr:col>61</xdr:col>
      <xdr:colOff>523875</xdr:colOff>
      <xdr:row>62</xdr:row>
      <xdr:rowOff>57150</xdr:rowOff>
    </xdr:from>
    <xdr:to>
      <xdr:col>65</xdr:col>
      <xdr:colOff>428625</xdr:colOff>
      <xdr:row>64</xdr:row>
      <xdr:rowOff>114300</xdr:rowOff>
    </xdr:to>
    <xdr:sp macro="" textlink="">
      <xdr:nvSpPr>
        <xdr:cNvPr id="37" name="Rounded Rectangle 36"/>
        <xdr:cNvSpPr/>
      </xdr:nvSpPr>
      <xdr:spPr>
        <a:xfrm>
          <a:off x="37614225" y="11906250"/>
          <a:ext cx="2324100" cy="438150"/>
        </a:xfrm>
        <a:prstGeom prst="roundRect">
          <a:avLst/>
        </a:prstGeom>
        <a:solidFill>
          <a:srgbClr val="0070C0"/>
        </a:solidFill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Optimise Anet fitting</a:t>
          </a:r>
        </a:p>
      </xdr:txBody>
    </xdr:sp>
    <xdr:clientData/>
  </xdr:twoCellAnchor>
  <xdr:twoCellAnchor>
    <xdr:from>
      <xdr:col>60</xdr:col>
      <xdr:colOff>514350</xdr:colOff>
      <xdr:row>65</xdr:row>
      <xdr:rowOff>95250</xdr:rowOff>
    </xdr:from>
    <xdr:to>
      <xdr:col>61</xdr:col>
      <xdr:colOff>457200</xdr:colOff>
      <xdr:row>68</xdr:row>
      <xdr:rowOff>104775</xdr:rowOff>
    </xdr:to>
    <xdr:sp macro="" textlink="">
      <xdr:nvSpPr>
        <xdr:cNvPr id="38" name="Oval 37"/>
        <xdr:cNvSpPr/>
      </xdr:nvSpPr>
      <xdr:spPr>
        <a:xfrm>
          <a:off x="36995100" y="12515850"/>
          <a:ext cx="552450" cy="581025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0">
          <a:schemeClr val="tx1"/>
        </a:lnRef>
        <a:fillRef idx="3">
          <a:schemeClr val="tx1"/>
        </a:fillRef>
        <a:effectRef idx="3">
          <a:schemeClr val="tx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AU" sz="3200"/>
            <a:t>6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342900</xdr:colOff>
      <xdr:row>25</xdr:row>
      <xdr:rowOff>114300</xdr:rowOff>
    </xdr:to>
    <xdr:sp macro="" textlink="">
      <xdr:nvSpPr>
        <xdr:cNvPr id="39" name="Rectangle: Rounded Corners 38"/>
        <xdr:cNvSpPr/>
      </xdr:nvSpPr>
      <xdr:spPr>
        <a:xfrm>
          <a:off x="13982700" y="390525"/>
          <a:ext cx="2781300" cy="45148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How to use this spreadsheet:</a:t>
          </a: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First need to enable Excel Solver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in the Data tab above.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>
              <a:latin typeface="Arial" panose="020B0604020202020204" pitchFamily="34" charset="0"/>
              <a:cs typeface="Arial" panose="020B0604020202020204" pitchFamily="34" charset="0"/>
            </a:rPr>
            <a:t>Treat</a:t>
          </a:r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 the AI data first by following the numbered steps on the left to generate AI related parameters (B47-49)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AI related parameters are fed into ACi data fitting on the right (AJ57-59) to generate ACi related parameters (AJ54-55).</a:t>
          </a:r>
        </a:p>
        <a:p>
          <a:pPr algn="l"/>
          <a:endParaRPr lang="en-A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400" baseline="0">
              <a:latin typeface="Arial" panose="020B0604020202020204" pitchFamily="34" charset="0"/>
              <a:cs typeface="Arial" panose="020B0604020202020204" pitchFamily="34" charset="0"/>
            </a:rPr>
            <a:t>The fitting algorithm assumes the Rd term is negligible.</a:t>
          </a:r>
          <a:endParaRPr lang="en-A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R156"/>
  <sheetViews>
    <sheetView tabSelected="1" zoomScale="55" zoomScaleNormal="55" workbookViewId="0" topLeftCell="A1">
      <selection activeCell="Q5" sqref="Q5"/>
    </sheetView>
  </sheetViews>
  <sheetFormatPr defaultColWidth="9.140625" defaultRowHeight="15"/>
  <cols>
    <col min="15" max="16" width="8.8515625" style="0" customWidth="1"/>
    <col min="43" max="43" width="8.7109375" style="0" customWidth="1"/>
    <col min="60" max="60" width="8.7109375" style="0" customWidth="1"/>
    <col min="65" max="65" width="8.8515625" style="0" customWidth="1"/>
  </cols>
  <sheetData>
    <row r="1" spans="1:43" ht="15.75" thickBot="1">
      <c r="A1" s="44" t="s">
        <v>2</v>
      </c>
      <c r="B1" s="44"/>
      <c r="C1" s="44"/>
      <c r="D1" s="44"/>
      <c r="E1" s="44"/>
      <c r="F1" s="44"/>
      <c r="G1" s="44"/>
      <c r="H1" s="44"/>
      <c r="I1" s="44"/>
      <c r="AI1" s="44" t="s">
        <v>2</v>
      </c>
      <c r="AJ1" s="44"/>
      <c r="AK1" s="44"/>
      <c r="AL1" s="44"/>
      <c r="AM1" s="44"/>
      <c r="AN1" s="44"/>
      <c r="AO1" s="44"/>
      <c r="AP1" s="44"/>
      <c r="AQ1" s="44"/>
    </row>
    <row r="2" spans="1:43" ht="15">
      <c r="A2" s="1"/>
      <c r="B2" s="2"/>
      <c r="C2" s="2"/>
      <c r="D2" s="2"/>
      <c r="E2" s="2"/>
      <c r="F2" s="2"/>
      <c r="G2" s="2"/>
      <c r="H2" s="2"/>
      <c r="I2" s="3"/>
      <c r="AI2" s="1"/>
      <c r="AJ2" s="2"/>
      <c r="AK2" s="2"/>
      <c r="AL2" s="2"/>
      <c r="AM2" s="2"/>
      <c r="AN2" s="2"/>
      <c r="AO2" s="2"/>
      <c r="AP2" s="2"/>
      <c r="AQ2" s="3"/>
    </row>
    <row r="3" spans="1:43" ht="15">
      <c r="A3" s="4" t="s">
        <v>1</v>
      </c>
      <c r="B3" s="5" t="s">
        <v>89</v>
      </c>
      <c r="C3" s="5" t="s">
        <v>90</v>
      </c>
      <c r="D3" s="5" t="s">
        <v>0</v>
      </c>
      <c r="E3" s="5" t="s">
        <v>91</v>
      </c>
      <c r="F3" s="5" t="s">
        <v>132</v>
      </c>
      <c r="G3" s="5"/>
      <c r="H3" s="5"/>
      <c r="I3" s="6"/>
      <c r="AI3" s="4" t="s">
        <v>1</v>
      </c>
      <c r="AJ3" s="5" t="s">
        <v>89</v>
      </c>
      <c r="AK3" s="5" t="s">
        <v>90</v>
      </c>
      <c r="AL3" s="5" t="s">
        <v>0</v>
      </c>
      <c r="AM3" s="5" t="s">
        <v>91</v>
      </c>
      <c r="AN3" t="s">
        <v>132</v>
      </c>
      <c r="AO3" s="5"/>
      <c r="AP3" s="5"/>
      <c r="AQ3" s="6"/>
    </row>
    <row r="4" spans="1:43" ht="15">
      <c r="A4">
        <v>75.0376776954101</v>
      </c>
      <c r="B4">
        <v>0.22782886749050685</v>
      </c>
      <c r="C4">
        <v>329.3598327636719</v>
      </c>
      <c r="D4" s="40">
        <v>2200.460205078125</v>
      </c>
      <c r="E4">
        <v>0.4068935305783779</v>
      </c>
      <c r="F4">
        <v>55.641840325780024</v>
      </c>
      <c r="G4" s="5"/>
      <c r="H4" s="5"/>
      <c r="I4" s="6"/>
      <c r="AI4" s="4">
        <v>12.772067970787</v>
      </c>
      <c r="AJ4">
        <v>0.3204499178358953</v>
      </c>
      <c r="AK4">
        <f aca="true" t="shared" si="0" ref="AK4:AK13">AI4/AJ4</f>
        <v>39.85667419433594</v>
      </c>
      <c r="AL4" s="40">
        <v>1799.3514404296875</v>
      </c>
      <c r="AM4">
        <v>0.5814147349172141</v>
      </c>
      <c r="AN4">
        <v>8.105719493785758</v>
      </c>
      <c r="AO4" s="5"/>
      <c r="AP4" s="5"/>
      <c r="AQ4" s="6"/>
    </row>
    <row r="5" spans="1:43" ht="15">
      <c r="A5">
        <v>103.22755148042877</v>
      </c>
      <c r="B5">
        <v>0.3036650670403908</v>
      </c>
      <c r="C5">
        <v>339.9388427734375</v>
      </c>
      <c r="D5" s="40">
        <v>1500.1102294921875</v>
      </c>
      <c r="E5">
        <v>0.36904776033445136</v>
      </c>
      <c r="F5">
        <v>47.24587285481821</v>
      </c>
      <c r="G5" s="5"/>
      <c r="H5" s="5"/>
      <c r="I5" s="6"/>
      <c r="AI5" s="4">
        <v>20.56480886165628</v>
      </c>
      <c r="AJ5">
        <v>0.25812757617958904</v>
      </c>
      <c r="AK5">
        <f t="shared" si="0"/>
        <v>79.6691665649414</v>
      </c>
      <c r="AL5" s="40">
        <v>1798.7874755859375</v>
      </c>
      <c r="AM5">
        <v>0.522669157478433</v>
      </c>
      <c r="AN5">
        <v>16.217664153003287</v>
      </c>
      <c r="AO5" s="5"/>
      <c r="AP5" s="5"/>
      <c r="AQ5" s="6"/>
    </row>
    <row r="6" spans="1:43" ht="15">
      <c r="A6">
        <v>155.132482152984</v>
      </c>
      <c r="B6">
        <v>0.4390028805677834</v>
      </c>
      <c r="C6">
        <v>353.3746337890625</v>
      </c>
      <c r="D6" s="40">
        <v>1000.8663940429688</v>
      </c>
      <c r="E6">
        <v>0.33829415657567596</v>
      </c>
      <c r="F6">
        <v>36.09382272275199</v>
      </c>
      <c r="G6" s="5"/>
      <c r="H6" s="5"/>
      <c r="I6" s="6"/>
      <c r="AI6" s="4">
        <v>43.88024248115497</v>
      </c>
      <c r="AJ6">
        <v>0.26924305888660305</v>
      </c>
      <c r="AK6">
        <f t="shared" si="0"/>
        <v>162.97631835937503</v>
      </c>
      <c r="AL6">
        <v>1799.7789306640625</v>
      </c>
      <c r="AM6">
        <v>0.46397065811395843</v>
      </c>
      <c r="AN6">
        <v>29.44868074335071</v>
      </c>
      <c r="AO6" s="5"/>
      <c r="AP6" s="5"/>
      <c r="AQ6" s="6"/>
    </row>
    <row r="7" spans="1:43" ht="15">
      <c r="A7">
        <v>241.28332254204744</v>
      </c>
      <c r="B7">
        <v>0.6489320958944386</v>
      </c>
      <c r="C7">
        <v>371.81597900390625</v>
      </c>
      <c r="D7" s="40">
        <v>501.2198181152344</v>
      </c>
      <c r="E7">
        <v>0.307804796236338</v>
      </c>
      <c r="F7">
        <v>20.939566549008486</v>
      </c>
      <c r="G7" s="5"/>
      <c r="H7" s="5"/>
      <c r="I7" s="6"/>
      <c r="AI7" s="4">
        <v>59.405297275661574</v>
      </c>
      <c r="AJ7">
        <v>0.2974533357276503</v>
      </c>
      <c r="AK7">
        <f t="shared" si="0"/>
        <v>199.71299743652344</v>
      </c>
      <c r="AL7">
        <v>1800.8834228515625</v>
      </c>
      <c r="AM7">
        <v>0.5470099272871398</v>
      </c>
      <c r="AN7">
        <v>39.87254543127734</v>
      </c>
      <c r="AO7" s="5"/>
      <c r="AP7" s="5"/>
      <c r="AQ7" s="6"/>
    </row>
    <row r="8" spans="1:43" ht="15">
      <c r="A8">
        <v>299.8073563709916</v>
      </c>
      <c r="B8">
        <v>0.7823467273100487</v>
      </c>
      <c r="C8">
        <v>383.2154541015625</v>
      </c>
      <c r="D8" s="40">
        <v>249.4808807373047</v>
      </c>
      <c r="E8">
        <v>0.28576243407258817</v>
      </c>
      <c r="F8">
        <v>11.60445733117064</v>
      </c>
      <c r="G8" s="5"/>
      <c r="H8" s="5"/>
      <c r="I8" s="6"/>
      <c r="AI8" s="4">
        <v>158.31301222610767</v>
      </c>
      <c r="AJ8">
        <v>0.46814123112255207</v>
      </c>
      <c r="AK8">
        <f t="shared" si="0"/>
        <v>338.1736145019531</v>
      </c>
      <c r="AL8">
        <v>1799.1099853515625</v>
      </c>
      <c r="AM8">
        <v>0.5230953726284818</v>
      </c>
      <c r="AN8">
        <v>48.334437244638515</v>
      </c>
      <c r="AO8" s="5"/>
      <c r="AP8" s="5"/>
      <c r="AQ8" s="6"/>
    </row>
    <row r="9" spans="1:43" ht="15">
      <c r="A9">
        <v>332.64447452160437</v>
      </c>
      <c r="B9">
        <v>0.8524974119202926</v>
      </c>
      <c r="C9">
        <v>390.1999816894531</v>
      </c>
      <c r="D9" s="40">
        <v>118.97477722167969</v>
      </c>
      <c r="E9">
        <v>0.24119963131017075</v>
      </c>
      <c r="F9">
        <v>6.0912229782509755</v>
      </c>
      <c r="G9" s="5"/>
      <c r="H9" s="5"/>
      <c r="I9" s="6"/>
      <c r="AI9" s="4">
        <v>370.6865046392751</v>
      </c>
      <c r="AJ9">
        <v>0.635735525263171</v>
      </c>
      <c r="AK9">
        <f t="shared" si="0"/>
        <v>583.0828857421875</v>
      </c>
      <c r="AL9">
        <v>1800.51513671875</v>
      </c>
      <c r="AM9">
        <v>0.47153671177334133</v>
      </c>
      <c r="AN9">
        <v>50.18887411467609</v>
      </c>
      <c r="AO9" s="5"/>
      <c r="AP9" s="5"/>
      <c r="AQ9" s="6"/>
    </row>
    <row r="10" spans="1:43" ht="15">
      <c r="A10">
        <v>357.1835692483844</v>
      </c>
      <c r="B10">
        <v>0.9058924537412275</v>
      </c>
      <c r="C10">
        <v>394.2891540527344</v>
      </c>
      <c r="D10" s="40">
        <v>59.611083984375</v>
      </c>
      <c r="E10">
        <v>0.2141912028422546</v>
      </c>
      <c r="F10">
        <v>2.765966782174864</v>
      </c>
      <c r="G10" s="5"/>
      <c r="H10" s="5"/>
      <c r="I10" s="6"/>
      <c r="AI10" s="4">
        <v>495.80307724067274</v>
      </c>
      <c r="AJ10">
        <v>0.6781083523768978</v>
      </c>
      <c r="AK10">
        <f t="shared" si="0"/>
        <v>731.1561279296875</v>
      </c>
      <c r="AL10">
        <v>1799.7000732421875</v>
      </c>
      <c r="AM10">
        <v>0.4337346965895208</v>
      </c>
      <c r="AN10">
        <v>50.583258697281025</v>
      </c>
      <c r="AO10" s="5"/>
      <c r="AP10" s="5"/>
      <c r="AQ10" s="6"/>
    </row>
    <row r="11" spans="1:43" ht="15">
      <c r="A11">
        <v>381.1053856987764</v>
      </c>
      <c r="B11">
        <v>0.9586132783236866</v>
      </c>
      <c r="C11">
        <v>397.5590515136719</v>
      </c>
      <c r="D11" s="40">
        <v>30.750173568725586</v>
      </c>
      <c r="E11">
        <v>0.18643027003486032</v>
      </c>
      <c r="F11">
        <v>0.01971174516557119</v>
      </c>
      <c r="G11" s="5"/>
      <c r="H11" s="5"/>
      <c r="I11" s="6"/>
      <c r="AI11" s="4">
        <v>653.2925502126539</v>
      </c>
      <c r="AJ11">
        <v>0.70264799677625</v>
      </c>
      <c r="AK11">
        <f t="shared" si="0"/>
        <v>929.7579345703126</v>
      </c>
      <c r="AL11">
        <v>1799.07470703125</v>
      </c>
      <c r="AM11">
        <v>0.36939563990855084</v>
      </c>
      <c r="AN11">
        <v>50.411601005491384</v>
      </c>
      <c r="AO11" s="5"/>
      <c r="AP11" s="5"/>
      <c r="AQ11" s="6"/>
    </row>
    <row r="12" spans="1:43" ht="15">
      <c r="A12">
        <v>397.5479423081413</v>
      </c>
      <c r="B12">
        <v>0.9946125218432963</v>
      </c>
      <c r="C12">
        <v>399.7013244628906</v>
      </c>
      <c r="D12" s="40">
        <v>15.285331726074219</v>
      </c>
      <c r="E12">
        <v>0.13082009446163678</v>
      </c>
      <c r="F12">
        <v>-1.1840010174100686</v>
      </c>
      <c r="G12" s="5"/>
      <c r="H12" s="5"/>
      <c r="I12" s="6"/>
      <c r="AI12" s="4">
        <v>830.8042222784762</v>
      </c>
      <c r="AJ12">
        <v>0.7363044213443011</v>
      </c>
      <c r="AK12">
        <f t="shared" si="0"/>
        <v>1128.3433837890625</v>
      </c>
      <c r="AL12">
        <v>1800.6224365234375</v>
      </c>
      <c r="AM12">
        <v>0.3483528045477331</v>
      </c>
      <c r="AN12">
        <v>50.32572268271187</v>
      </c>
      <c r="AO12" s="5"/>
      <c r="AP12" s="5"/>
      <c r="AQ12" s="6"/>
    </row>
    <row r="13" spans="1:43" ht="15">
      <c r="A13">
        <v>416.9722610888455</v>
      </c>
      <c r="B13">
        <v>1.0389181847321374</v>
      </c>
      <c r="C13">
        <v>401.35235595703125</v>
      </c>
      <c r="D13" s="40">
        <v>0.12716153264045715</v>
      </c>
      <c r="E13">
        <v>0.1093471379267009</v>
      </c>
      <c r="F13">
        <v>-2.268093777354121</v>
      </c>
      <c r="G13" s="5"/>
      <c r="H13" s="5"/>
      <c r="I13" s="6"/>
      <c r="AI13" s="4">
        <v>1004.3978773040329</v>
      </c>
      <c r="AJ13">
        <v>0.7569346650059763</v>
      </c>
      <c r="AK13">
        <f t="shared" si="0"/>
        <v>1326.9281005859375</v>
      </c>
      <c r="AL13">
        <v>1800.8707275390625</v>
      </c>
      <c r="AM13">
        <v>0.32565129305583634</v>
      </c>
      <c r="AN13">
        <v>50.389316457600145</v>
      </c>
      <c r="AO13" s="5"/>
      <c r="AP13" s="5"/>
      <c r="AQ13" s="6"/>
    </row>
    <row r="14" spans="1:43" ht="15">
      <c r="A14" s="4"/>
      <c r="B14" s="5"/>
      <c r="C14" s="5"/>
      <c r="D14" s="5"/>
      <c r="E14" s="5"/>
      <c r="F14" s="5"/>
      <c r="G14" s="5"/>
      <c r="H14" s="5"/>
      <c r="I14" s="6"/>
      <c r="AI14" s="4"/>
      <c r="AJ14" s="5"/>
      <c r="AK14" s="5"/>
      <c r="AL14" s="5"/>
      <c r="AM14" s="5"/>
      <c r="AN14" s="5"/>
      <c r="AO14" s="5"/>
      <c r="AP14" s="5"/>
      <c r="AQ14" s="6"/>
    </row>
    <row r="15" spans="1:43" ht="15">
      <c r="A15" s="4"/>
      <c r="B15" s="5"/>
      <c r="C15" s="5"/>
      <c r="D15" s="5"/>
      <c r="E15" s="5"/>
      <c r="F15" s="5"/>
      <c r="G15" s="5"/>
      <c r="H15" s="5"/>
      <c r="I15" s="6"/>
      <c r="AI15" s="4"/>
      <c r="AJ15" s="5"/>
      <c r="AK15" s="5"/>
      <c r="AL15" s="5"/>
      <c r="AM15" s="5"/>
      <c r="AN15" s="5"/>
      <c r="AO15" s="5"/>
      <c r="AP15" s="5"/>
      <c r="AQ15" s="6"/>
    </row>
    <row r="16" spans="1:69" ht="15.75" thickBot="1">
      <c r="A16" s="7"/>
      <c r="B16" s="8"/>
      <c r="C16" s="8"/>
      <c r="D16" s="8"/>
      <c r="E16" s="8"/>
      <c r="F16" s="8"/>
      <c r="G16" s="8"/>
      <c r="H16" s="8"/>
      <c r="I16" s="9"/>
      <c r="AI16" s="7"/>
      <c r="AJ16" s="8"/>
      <c r="AK16" s="8"/>
      <c r="AL16" s="8"/>
      <c r="AM16" s="8"/>
      <c r="AN16" s="8"/>
      <c r="AO16" s="8"/>
      <c r="AP16" s="8"/>
      <c r="AQ16" s="9"/>
      <c r="BO16" s="36"/>
      <c r="BP16" s="36"/>
      <c r="BQ16" s="36"/>
    </row>
    <row r="17" spans="67:69" ht="15">
      <c r="BO17" s="36"/>
      <c r="BP17" s="36"/>
      <c r="BQ17" s="36"/>
    </row>
    <row r="18" spans="1:69" ht="15.75" thickBot="1">
      <c r="A18" s="44" t="s">
        <v>3</v>
      </c>
      <c r="B18" s="44"/>
      <c r="C18" s="44"/>
      <c r="D18" s="44"/>
      <c r="E18" s="44"/>
      <c r="F18" s="44"/>
      <c r="G18" s="44"/>
      <c r="H18" s="44"/>
      <c r="I18" s="44"/>
      <c r="AI18" s="44" t="s">
        <v>3</v>
      </c>
      <c r="AJ18" s="44"/>
      <c r="AK18" s="44"/>
      <c r="AL18" s="44"/>
      <c r="AM18" s="44"/>
      <c r="AN18" s="44"/>
      <c r="AO18" s="44"/>
      <c r="AP18" s="44"/>
      <c r="AQ18" s="44"/>
      <c r="BO18" s="36"/>
      <c r="BP18" s="36"/>
      <c r="BQ18" s="36"/>
    </row>
    <row r="19" spans="1:69" ht="15">
      <c r="A19" s="1" t="s">
        <v>1</v>
      </c>
      <c r="B19" s="2" t="s">
        <v>4</v>
      </c>
      <c r="C19" s="2" t="str">
        <f>F3</f>
        <v>Plot_272</v>
      </c>
      <c r="D19" s="2"/>
      <c r="E19" s="2"/>
      <c r="F19" s="2" t="s">
        <v>5</v>
      </c>
      <c r="G19" s="2"/>
      <c r="H19" s="2"/>
      <c r="I19" s="3"/>
      <c r="AI19" s="1" t="s">
        <v>1</v>
      </c>
      <c r="AJ19" s="2" t="s">
        <v>4</v>
      </c>
      <c r="AK19" s="2" t="str">
        <f>AN3</f>
        <v>Plot_272</v>
      </c>
      <c r="AL19" s="2"/>
      <c r="AM19" s="2"/>
      <c r="AN19" s="2" t="s">
        <v>5</v>
      </c>
      <c r="AO19" s="2"/>
      <c r="AP19" s="2"/>
      <c r="AQ19" s="3"/>
      <c r="BO19" s="36"/>
      <c r="BP19" s="36"/>
      <c r="BQ19" s="36"/>
    </row>
    <row r="20" spans="1:96" ht="15">
      <c r="A20" s="4">
        <f>A4</f>
        <v>75.0376776954101</v>
      </c>
      <c r="B20" s="5">
        <f>D4</f>
        <v>2200.460205078125</v>
      </c>
      <c r="C20" s="5">
        <f>F4</f>
        <v>55.641840325780024</v>
      </c>
      <c r="D20" s="5"/>
      <c r="E20" s="5"/>
      <c r="F20" s="5"/>
      <c r="G20" s="5"/>
      <c r="H20" s="5"/>
      <c r="I20" s="6"/>
      <c r="AI20" s="4">
        <f aca="true" t="shared" si="1" ref="AI20:AI29">AI4</f>
        <v>12.772067970787</v>
      </c>
      <c r="AJ20">
        <f aca="true" t="shared" si="2" ref="AJ20">AL4</f>
        <v>1799.3514404296875</v>
      </c>
      <c r="AK20">
        <f aca="true" t="shared" si="3" ref="AK20">AN4</f>
        <v>8.105719493785758</v>
      </c>
      <c r="AL20" s="5"/>
      <c r="AM20" s="5"/>
      <c r="AN20" s="5"/>
      <c r="AO20" s="5"/>
      <c r="AP20" s="5"/>
      <c r="AQ20" s="6"/>
      <c r="BO20" s="36"/>
      <c r="BP20" s="36"/>
      <c r="BQ20" s="36"/>
      <c r="CR20" t="s">
        <v>121</v>
      </c>
    </row>
    <row r="21" spans="1:69" ht="15">
      <c r="A21" s="4">
        <f aca="true" t="shared" si="4" ref="A21:A22">A5</f>
        <v>103.22755148042877</v>
      </c>
      <c r="B21" s="5">
        <f aca="true" t="shared" si="5" ref="B21:B22">D5</f>
        <v>1500.1102294921875</v>
      </c>
      <c r="C21" s="5">
        <f aca="true" t="shared" si="6" ref="C21:C22">F5</f>
        <v>47.24587285481821</v>
      </c>
      <c r="D21" s="5"/>
      <c r="E21" s="5"/>
      <c r="F21" s="5"/>
      <c r="G21" s="5"/>
      <c r="H21" s="5"/>
      <c r="I21" s="6"/>
      <c r="AI21" s="4">
        <f t="shared" si="1"/>
        <v>20.56480886165628</v>
      </c>
      <c r="AJ21">
        <f aca="true" t="shared" si="7" ref="AJ21:AJ29">AL5</f>
        <v>1798.7874755859375</v>
      </c>
      <c r="AK21">
        <f aca="true" t="shared" si="8" ref="AK21:AK29">AN5</f>
        <v>16.217664153003287</v>
      </c>
      <c r="AL21" s="5"/>
      <c r="AM21" s="5"/>
      <c r="AN21" s="5"/>
      <c r="AO21" s="5"/>
      <c r="AP21" s="5"/>
      <c r="AQ21" s="6"/>
      <c r="BO21" s="36"/>
      <c r="BP21" s="36"/>
      <c r="BQ21" s="36"/>
    </row>
    <row r="22" spans="1:69" ht="15">
      <c r="A22" s="4">
        <f t="shared" si="4"/>
        <v>155.132482152984</v>
      </c>
      <c r="B22" s="5">
        <f t="shared" si="5"/>
        <v>1000.8663940429688</v>
      </c>
      <c r="C22" s="5">
        <f t="shared" si="6"/>
        <v>36.09382272275199</v>
      </c>
      <c r="D22" s="5"/>
      <c r="E22" s="5"/>
      <c r="F22" s="5"/>
      <c r="G22" s="5"/>
      <c r="H22" s="5"/>
      <c r="I22" s="6"/>
      <c r="AI22" s="4">
        <f t="shared" si="1"/>
        <v>43.88024248115497</v>
      </c>
      <c r="AJ22">
        <f t="shared" si="7"/>
        <v>1799.7789306640625</v>
      </c>
      <c r="AK22">
        <f t="shared" si="8"/>
        <v>29.44868074335071</v>
      </c>
      <c r="AL22" s="5"/>
      <c r="AM22" s="5"/>
      <c r="AN22" s="5"/>
      <c r="AO22" s="5"/>
      <c r="AP22" s="5"/>
      <c r="AQ22" s="6"/>
      <c r="BO22" s="36"/>
      <c r="BP22" s="36"/>
      <c r="BQ22" s="36"/>
    </row>
    <row r="23" spans="1:43" ht="15">
      <c r="A23" s="4">
        <f aca="true" t="shared" si="9" ref="A23:A28">A7</f>
        <v>241.28332254204744</v>
      </c>
      <c r="B23" s="5">
        <f aca="true" t="shared" si="10" ref="B23:B28">D7</f>
        <v>501.2198181152344</v>
      </c>
      <c r="C23" s="5">
        <f aca="true" t="shared" si="11" ref="C23:C28">F7</f>
        <v>20.939566549008486</v>
      </c>
      <c r="G23" s="5"/>
      <c r="H23" s="5"/>
      <c r="I23" s="6"/>
      <c r="AI23" s="4">
        <f t="shared" si="1"/>
        <v>59.405297275661574</v>
      </c>
      <c r="AJ23">
        <f t="shared" si="7"/>
        <v>1800.8834228515625</v>
      </c>
      <c r="AK23">
        <f t="shared" si="8"/>
        <v>39.87254543127734</v>
      </c>
      <c r="AL23" s="5"/>
      <c r="AM23" s="5"/>
      <c r="AN23" s="5"/>
      <c r="AO23" s="5"/>
      <c r="AP23" s="5"/>
      <c r="AQ23" s="6"/>
    </row>
    <row r="24" spans="1:43" ht="15">
      <c r="A24" s="4">
        <f t="shared" si="9"/>
        <v>299.8073563709916</v>
      </c>
      <c r="B24" s="5">
        <f t="shared" si="10"/>
        <v>249.4808807373047</v>
      </c>
      <c r="C24" s="5">
        <f t="shared" si="11"/>
        <v>11.60445733117064</v>
      </c>
      <c r="G24" s="5"/>
      <c r="H24" s="5"/>
      <c r="I24" s="6"/>
      <c r="AI24" s="4">
        <f t="shared" si="1"/>
        <v>158.31301222610767</v>
      </c>
      <c r="AJ24">
        <f t="shared" si="7"/>
        <v>1799.1099853515625</v>
      </c>
      <c r="AK24">
        <f t="shared" si="8"/>
        <v>48.334437244638515</v>
      </c>
      <c r="AL24" s="5"/>
      <c r="AM24" s="5"/>
      <c r="AN24" s="5"/>
      <c r="AO24" s="5"/>
      <c r="AP24" s="5"/>
      <c r="AQ24" s="6"/>
    </row>
    <row r="25" spans="1:43" ht="15">
      <c r="A25" s="4">
        <f t="shared" si="9"/>
        <v>332.64447452160437</v>
      </c>
      <c r="B25" s="5">
        <f t="shared" si="10"/>
        <v>118.97477722167969</v>
      </c>
      <c r="C25" s="5">
        <f t="shared" si="11"/>
        <v>6.0912229782509755</v>
      </c>
      <c r="G25" s="5"/>
      <c r="H25" s="5"/>
      <c r="I25" s="6"/>
      <c r="AI25" s="4">
        <f t="shared" si="1"/>
        <v>370.6865046392751</v>
      </c>
      <c r="AJ25">
        <f t="shared" si="7"/>
        <v>1800.51513671875</v>
      </c>
      <c r="AK25">
        <f t="shared" si="8"/>
        <v>50.18887411467609</v>
      </c>
      <c r="AL25" s="5"/>
      <c r="AM25" s="5"/>
      <c r="AN25" s="5"/>
      <c r="AO25" s="5"/>
      <c r="AP25" s="5"/>
      <c r="AQ25" s="6"/>
    </row>
    <row r="26" spans="1:43" ht="15">
      <c r="A26" s="4">
        <f t="shared" si="9"/>
        <v>357.1835692483844</v>
      </c>
      <c r="B26" s="5">
        <f t="shared" si="10"/>
        <v>59.611083984375</v>
      </c>
      <c r="C26" s="5">
        <f t="shared" si="11"/>
        <v>2.765966782174864</v>
      </c>
      <c r="G26" s="5"/>
      <c r="H26" s="5"/>
      <c r="I26" s="6"/>
      <c r="AI26" s="4">
        <f t="shared" si="1"/>
        <v>495.80307724067274</v>
      </c>
      <c r="AJ26">
        <f t="shared" si="7"/>
        <v>1799.7000732421875</v>
      </c>
      <c r="AK26">
        <f t="shared" si="8"/>
        <v>50.583258697281025</v>
      </c>
      <c r="AL26" s="5"/>
      <c r="AM26" s="5"/>
      <c r="AN26" s="5"/>
      <c r="AO26" s="5"/>
      <c r="AP26" s="5"/>
      <c r="AQ26" s="6"/>
    </row>
    <row r="27" spans="1:48" ht="15">
      <c r="A27" s="4">
        <f t="shared" si="9"/>
        <v>381.1053856987764</v>
      </c>
      <c r="B27" s="5">
        <f t="shared" si="10"/>
        <v>30.750173568725586</v>
      </c>
      <c r="C27" s="5">
        <f t="shared" si="11"/>
        <v>0.01971174516557119</v>
      </c>
      <c r="G27" s="5"/>
      <c r="H27" s="5"/>
      <c r="I27" s="6"/>
      <c r="AI27" s="4">
        <f t="shared" si="1"/>
        <v>653.2925502126539</v>
      </c>
      <c r="AJ27">
        <f t="shared" si="7"/>
        <v>1799.07470703125</v>
      </c>
      <c r="AK27">
        <f t="shared" si="8"/>
        <v>50.411601005491384</v>
      </c>
      <c r="AL27" s="5"/>
      <c r="AM27" s="5"/>
      <c r="AN27" s="5"/>
      <c r="AO27" s="5"/>
      <c r="AP27" s="5"/>
      <c r="AQ27" s="6"/>
      <c r="AV27">
        <v>0</v>
      </c>
    </row>
    <row r="28" spans="1:48" ht="15">
      <c r="A28" s="4">
        <f t="shared" si="9"/>
        <v>397.5479423081413</v>
      </c>
      <c r="B28" s="5">
        <f t="shared" si="10"/>
        <v>15.285331726074219</v>
      </c>
      <c r="C28" s="5">
        <f t="shared" si="11"/>
        <v>-1.1840010174100686</v>
      </c>
      <c r="G28" s="5"/>
      <c r="H28" s="5"/>
      <c r="I28" s="6"/>
      <c r="AI28" s="4">
        <f t="shared" si="1"/>
        <v>830.8042222784762</v>
      </c>
      <c r="AJ28">
        <f t="shared" si="7"/>
        <v>1800.6224365234375</v>
      </c>
      <c r="AK28">
        <f t="shared" si="8"/>
        <v>50.32572268271187</v>
      </c>
      <c r="AL28" s="5"/>
      <c r="AM28" s="5"/>
      <c r="AN28" s="5"/>
      <c r="AO28" s="5"/>
      <c r="AP28" s="5"/>
      <c r="AQ28" s="6"/>
      <c r="AV28">
        <v>0</v>
      </c>
    </row>
    <row r="29" spans="4:48" ht="15">
      <c r="D29" s="4">
        <f>A13</f>
        <v>416.9722610888455</v>
      </c>
      <c r="E29" s="5">
        <f>D13</f>
        <v>0.12716153264045715</v>
      </c>
      <c r="F29" s="5">
        <f>F13</f>
        <v>-2.268093777354121</v>
      </c>
      <c r="G29" s="5"/>
      <c r="H29" s="5"/>
      <c r="I29" s="6"/>
      <c r="AI29" s="4">
        <f t="shared" si="1"/>
        <v>1004.3978773040329</v>
      </c>
      <c r="AJ29">
        <f t="shared" si="7"/>
        <v>1800.8707275390625</v>
      </c>
      <c r="AK29">
        <f t="shared" si="8"/>
        <v>50.389316457600145</v>
      </c>
      <c r="AL29" s="5"/>
      <c r="AM29" s="5"/>
      <c r="AN29" s="5"/>
      <c r="AO29" s="5"/>
      <c r="AP29" s="5"/>
      <c r="AQ29" s="6"/>
      <c r="AV29">
        <v>0</v>
      </c>
    </row>
    <row r="30" spans="1:48" ht="15">
      <c r="A30" s="4">
        <f>A14</f>
        <v>0</v>
      </c>
      <c r="B30" s="5">
        <f>D14</f>
        <v>0</v>
      </c>
      <c r="C30" s="5">
        <f>F14</f>
        <v>0</v>
      </c>
      <c r="G30" s="5"/>
      <c r="H30" s="5"/>
      <c r="I30" s="6"/>
      <c r="AI30" s="4"/>
      <c r="AJ30" s="5"/>
      <c r="AK30" s="5"/>
      <c r="AL30" s="5"/>
      <c r="AM30" s="5"/>
      <c r="AN30" s="5"/>
      <c r="AO30" s="5"/>
      <c r="AP30" s="5"/>
      <c r="AQ30" s="6"/>
      <c r="AV30">
        <v>0</v>
      </c>
    </row>
    <row r="31" spans="1:48" ht="15">
      <c r="A31" s="4"/>
      <c r="B31" s="5"/>
      <c r="C31" s="5"/>
      <c r="D31" s="5"/>
      <c r="E31" s="5"/>
      <c r="F31" s="5"/>
      <c r="G31" s="5"/>
      <c r="H31" s="5"/>
      <c r="I31" s="6"/>
      <c r="AI31" s="4"/>
      <c r="AJ31" s="5"/>
      <c r="AK31" s="5"/>
      <c r="AL31" s="5"/>
      <c r="AM31" s="5"/>
      <c r="AN31" s="5"/>
      <c r="AO31" s="5"/>
      <c r="AP31" s="5"/>
      <c r="AQ31" s="6"/>
      <c r="AV31">
        <v>0</v>
      </c>
    </row>
    <row r="32" spans="1:48" ht="15.75" thickBot="1">
      <c r="A32" s="7"/>
      <c r="B32" s="8"/>
      <c r="C32" s="8"/>
      <c r="D32" s="8"/>
      <c r="E32" s="8"/>
      <c r="F32" s="8"/>
      <c r="G32" s="8"/>
      <c r="H32" s="8"/>
      <c r="I32" s="9"/>
      <c r="AI32" s="7"/>
      <c r="AJ32" s="8"/>
      <c r="AK32" s="8"/>
      <c r="AL32" s="8"/>
      <c r="AM32" s="8"/>
      <c r="AN32" s="8"/>
      <c r="AO32" s="8"/>
      <c r="AP32" s="8"/>
      <c r="AQ32" s="9"/>
      <c r="AV32">
        <v>0</v>
      </c>
    </row>
    <row r="33" ht="15">
      <c r="AV33">
        <v>0</v>
      </c>
    </row>
    <row r="34" spans="1:48" ht="15">
      <c r="A34" t="s">
        <v>133</v>
      </c>
      <c r="B34">
        <v>34</v>
      </c>
      <c r="AI34" t="s">
        <v>133</v>
      </c>
      <c r="AJ34">
        <v>34.344</v>
      </c>
      <c r="AV34">
        <v>0</v>
      </c>
    </row>
    <row r="35" ht="15">
      <c r="AV35">
        <v>0</v>
      </c>
    </row>
    <row r="36" spans="1:48" ht="15">
      <c r="A36" t="s">
        <v>6</v>
      </c>
      <c r="D36" t="s">
        <v>69</v>
      </c>
      <c r="AI36" t="s">
        <v>6</v>
      </c>
      <c r="AL36" t="s">
        <v>69</v>
      </c>
      <c r="AV36">
        <v>0</v>
      </c>
    </row>
    <row r="37" spans="1:48" ht="15">
      <c r="A37" t="s">
        <v>7</v>
      </c>
      <c r="B37">
        <v>0.85</v>
      </c>
      <c r="D37" t="s">
        <v>70</v>
      </c>
      <c r="E37">
        <f>B39*(((2*(B34-$C$133)^$J$137*($C$134-$C$133)^$J$137-(B34-$C$133)^(2*$J$137))/(($C$134-$C$133)^(2*$J$137)))^$C$137)/$C$136</f>
        <v>2.137417734983019</v>
      </c>
      <c r="AI37" t="s">
        <v>9</v>
      </c>
      <c r="AJ37">
        <v>1.2</v>
      </c>
      <c r="AL37" t="s">
        <v>70</v>
      </c>
      <c r="AM37">
        <f>AJ37*(((2*(AJ34-$C$133)^$J$137*($C$134-$C$133)^$J$137-(AJ34-$C$133)^(2*$J$137))/(($C$134-$C$133)^(2*$J$137)))^$C$137)/$C$136</f>
        <v>2.169909754709003</v>
      </c>
      <c r="AV37">
        <v>0</v>
      </c>
    </row>
    <row r="38" spans="1:48" ht="15">
      <c r="A38" t="s">
        <v>8</v>
      </c>
      <c r="B38">
        <v>0.15</v>
      </c>
      <c r="D38" t="s">
        <v>71</v>
      </c>
      <c r="E38">
        <f>$C$112*EXP($C$113*(B34+273-298.15)/(298.15*8.314*(B34+273)))</f>
        <v>2552.90664805585</v>
      </c>
      <c r="AI38" t="s">
        <v>11</v>
      </c>
      <c r="AJ38">
        <v>0.1</v>
      </c>
      <c r="AL38" t="s">
        <v>95</v>
      </c>
      <c r="AM38">
        <f>$C$120*EXP($C$121*(AJ34+273-298.15)/(298.15*8.314*(AJ34+273)))</f>
        <v>116.22827382071914</v>
      </c>
      <c r="AV38">
        <v>0</v>
      </c>
    </row>
    <row r="39" spans="1:48" ht="15">
      <c r="A39" t="s">
        <v>9</v>
      </c>
      <c r="B39">
        <v>1.2</v>
      </c>
      <c r="D39" t="s">
        <v>72</v>
      </c>
      <c r="E39">
        <f>$C$114*EXP($C$115*(B34+273-298.15)/(298.15*8.314*(B34+273)))</f>
        <v>329924.31387390825</v>
      </c>
      <c r="AI39" t="s">
        <v>77</v>
      </c>
      <c r="AJ39">
        <v>0.003</v>
      </c>
      <c r="AL39" t="s">
        <v>74</v>
      </c>
      <c r="AM39">
        <f>AJ41*EXP($C$125*(AJ34+273-298.15)/(298.15*8.314*(AJ34+273)))</f>
        <v>0</v>
      </c>
      <c r="AV39">
        <v>0</v>
      </c>
    </row>
    <row r="40" spans="1:68" ht="15">
      <c r="A40" t="s">
        <v>10</v>
      </c>
      <c r="B40">
        <v>0.4</v>
      </c>
      <c r="D40" t="s">
        <v>76</v>
      </c>
      <c r="E40">
        <f>$C$118*EXP($C$119*(B34+273-298.15)/(298.15*8.314*(B34+273)))</f>
        <v>7.060153660146588</v>
      </c>
      <c r="AI40" t="s">
        <v>12</v>
      </c>
      <c r="AJ40">
        <v>210000</v>
      </c>
      <c r="AL40" t="s">
        <v>73</v>
      </c>
      <c r="AM40">
        <f>AM39/2</f>
        <v>0</v>
      </c>
      <c r="BP40">
        <v>0</v>
      </c>
    </row>
    <row r="41" spans="1:39" ht="15">
      <c r="A41" t="s">
        <v>11</v>
      </c>
      <c r="B41">
        <v>0.1</v>
      </c>
      <c r="D41" t="s">
        <v>75</v>
      </c>
      <c r="E41">
        <f>0.5/(E39/E38*E40)</f>
        <v>0.0005479948324064049</v>
      </c>
      <c r="AI41" t="s">
        <v>13</v>
      </c>
      <c r="AJ41">
        <v>0</v>
      </c>
      <c r="AL41" t="s">
        <v>71</v>
      </c>
      <c r="AM41">
        <f>$C$112*EXP($C$113*(AJ34+273-298.15)/(298.15*8.314*(AJ34+273)))</f>
        <v>2625.799156735649</v>
      </c>
    </row>
    <row r="42" spans="1:39" ht="15">
      <c r="A42" t="s">
        <v>77</v>
      </c>
      <c r="B42">
        <v>0.003</v>
      </c>
      <c r="D42" t="s">
        <v>74</v>
      </c>
      <c r="E42">
        <f>B44*EXP($C$125*(B34+273-298.15)/(298.15*8.314*(B34+273)))</f>
        <v>0</v>
      </c>
      <c r="AL42" t="s">
        <v>72</v>
      </c>
      <c r="AM42">
        <f>$C$114*EXP($C$115*(AJ34+273-298.15)/(298.15*8.314*(AJ34+273)))</f>
        <v>331446.9255259249</v>
      </c>
    </row>
    <row r="43" spans="1:39" ht="15">
      <c r="A43" t="s">
        <v>12</v>
      </c>
      <c r="B43">
        <v>210000</v>
      </c>
      <c r="D43" t="s">
        <v>73</v>
      </c>
      <c r="E43">
        <f>E42/2</f>
        <v>0</v>
      </c>
      <c r="AL43" t="s">
        <v>76</v>
      </c>
      <c r="AM43">
        <f>$C$118*EXP($C$119*(AJ34+273-298.15)/(298.15*8.314*(AJ34+273)))</f>
        <v>7.126299052392086</v>
      </c>
    </row>
    <row r="44" spans="1:39" ht="15">
      <c r="A44" t="s">
        <v>13</v>
      </c>
      <c r="B44">
        <v>0</v>
      </c>
      <c r="AL44" t="s">
        <v>75</v>
      </c>
      <c r="AM44">
        <f>0.5/(AM42/AM41*AM43)</f>
        <v>0.0005558447019990638</v>
      </c>
    </row>
    <row r="45" spans="1:2" ht="15">
      <c r="A45" s="37" t="s">
        <v>124</v>
      </c>
      <c r="B45">
        <v>2</v>
      </c>
    </row>
    <row r="46" spans="1:55" ht="15">
      <c r="A46" t="s">
        <v>78</v>
      </c>
      <c r="D46" t="s">
        <v>82</v>
      </c>
      <c r="E46" t="s">
        <v>83</v>
      </c>
      <c r="F46" t="s">
        <v>84</v>
      </c>
      <c r="H46" t="s">
        <v>1</v>
      </c>
      <c r="I46" t="s">
        <v>108</v>
      </c>
      <c r="J46" t="s">
        <v>73</v>
      </c>
      <c r="K46" t="s">
        <v>75</v>
      </c>
      <c r="L46" t="s">
        <v>109</v>
      </c>
      <c r="M46" t="s">
        <v>77</v>
      </c>
      <c r="N46" t="s">
        <v>12</v>
      </c>
      <c r="O46" t="s">
        <v>74</v>
      </c>
      <c r="T46" t="s">
        <v>86</v>
      </c>
      <c r="V46" t="s">
        <v>93</v>
      </c>
      <c r="AI46" t="s">
        <v>118</v>
      </c>
      <c r="AW46" s="34"/>
      <c r="AX46" s="34"/>
      <c r="AY46" s="34"/>
      <c r="AZ46" s="34"/>
      <c r="BA46" s="34"/>
      <c r="BB46" s="34"/>
      <c r="BC46" s="34"/>
    </row>
    <row r="47" spans="1:58" ht="15">
      <c r="A47" t="s">
        <v>79</v>
      </c>
      <c r="B47" s="33">
        <v>0.6456010511868987</v>
      </c>
      <c r="D47">
        <f>B20</f>
        <v>2200.460205078125</v>
      </c>
      <c r="E47">
        <f aca="true" t="shared" si="12" ref="E47:E55">D47*B$37*(1-B$38)/B$48</f>
        <v>641.3851297311028</v>
      </c>
      <c r="F47">
        <f aca="true" t="shared" si="13" ref="F47:F55">(E47+B$49-((E47+B$49)^2-4*B$47*B$49*E47)^0.5)/(2*B$47)</f>
        <v>322.94931005176613</v>
      </c>
      <c r="H47">
        <f>A20</f>
        <v>75.0376776954101</v>
      </c>
      <c r="I47">
        <f aca="true" t="shared" si="14" ref="I47:I55">1/E$37</f>
        <v>0.46785426341002295</v>
      </c>
      <c r="J47">
        <f aca="true" t="shared" si="15" ref="J47:J55">E$43</f>
        <v>0</v>
      </c>
      <c r="K47">
        <f aca="true" t="shared" si="16" ref="K47:K55">E$41</f>
        <v>0.0005479948324064049</v>
      </c>
      <c r="L47">
        <f aca="true" t="shared" si="17" ref="L47:L55">B$41/0.047</f>
        <v>2.127659574468085</v>
      </c>
      <c r="M47">
        <f aca="true" t="shared" si="18" ref="M47:M55">B$42</f>
        <v>0.003</v>
      </c>
      <c r="N47">
        <f aca="true" t="shared" si="19" ref="N47:N55">B$43</f>
        <v>210000</v>
      </c>
      <c r="O47">
        <f aca="true" t="shared" si="20" ref="O47:O55">E$42</f>
        <v>0</v>
      </c>
      <c r="T47">
        <f aca="true" t="shared" si="21" ref="T47:T55">(-((N58^2-4*O58)^0.5)+P58)/(2*Q58)</f>
        <v>55.72789628279582</v>
      </c>
      <c r="U47">
        <f>(1-T47/C20)^2*V47</f>
        <v>2.39198750181775E-06</v>
      </c>
      <c r="V47" s="34">
        <v>1</v>
      </c>
      <c r="AI47" t="s">
        <v>6</v>
      </c>
      <c r="AL47" t="s">
        <v>69</v>
      </c>
      <c r="AQ47" s="42" t="s">
        <v>127</v>
      </c>
      <c r="AR47" s="42"/>
      <c r="AS47" s="42"/>
      <c r="AT47" s="42"/>
      <c r="AW47" s="42" t="s">
        <v>127</v>
      </c>
      <c r="AX47" s="42"/>
      <c r="AY47" s="42"/>
      <c r="AZ47" s="35"/>
      <c r="BA47" s="38"/>
      <c r="BB47" s="38"/>
      <c r="BC47" s="38"/>
      <c r="BD47" s="42" t="s">
        <v>128</v>
      </c>
      <c r="BE47" s="42"/>
      <c r="BF47" s="42"/>
    </row>
    <row r="48" spans="1:55" ht="15">
      <c r="A48" t="s">
        <v>80</v>
      </c>
      <c r="B48" s="33">
        <v>2.478748609022903</v>
      </c>
      <c r="D48">
        <f aca="true" t="shared" si="22" ref="D48:D49">B21</f>
        <v>1500.1102294921875</v>
      </c>
      <c r="E48">
        <f t="shared" si="12"/>
        <v>437.24871367062093</v>
      </c>
      <c r="F48">
        <f t="shared" si="13"/>
        <v>274.6381774805976</v>
      </c>
      <c r="H48">
        <f aca="true" t="shared" si="23" ref="H48:H49">A21</f>
        <v>103.22755148042877</v>
      </c>
      <c r="I48">
        <f t="shared" si="14"/>
        <v>0.46785426341002295</v>
      </c>
      <c r="J48">
        <f t="shared" si="15"/>
        <v>0</v>
      </c>
      <c r="K48">
        <f t="shared" si="16"/>
        <v>0.0005479948324064049</v>
      </c>
      <c r="L48">
        <f t="shared" si="17"/>
        <v>2.127659574468085</v>
      </c>
      <c r="M48">
        <f t="shared" si="18"/>
        <v>0.003</v>
      </c>
      <c r="N48">
        <f t="shared" si="19"/>
        <v>210000</v>
      </c>
      <c r="O48">
        <f t="shared" si="20"/>
        <v>0</v>
      </c>
      <c r="T48">
        <f t="shared" si="21"/>
        <v>46.93847481900946</v>
      </c>
      <c r="U48">
        <f aca="true" t="shared" si="24" ref="U48:U49">(1-T48/C21)^2*V48</f>
        <v>4.233254927309687E-05</v>
      </c>
      <c r="V48" s="34">
        <v>1</v>
      </c>
      <c r="AI48" t="s">
        <v>4</v>
      </c>
      <c r="AJ48">
        <v>1800</v>
      </c>
      <c r="AQ48" t="s">
        <v>117</v>
      </c>
      <c r="BC48" s="34"/>
    </row>
    <row r="49" spans="1:60" ht="15">
      <c r="A49" t="s">
        <v>81</v>
      </c>
      <c r="B49" s="33">
        <v>439.02445459605207</v>
      </c>
      <c r="D49">
        <f t="shared" si="22"/>
        <v>1000.8663940429688</v>
      </c>
      <c r="E49">
        <f t="shared" si="12"/>
        <v>291.73025738220934</v>
      </c>
      <c r="F49">
        <f t="shared" si="13"/>
        <v>216.7862279467674</v>
      </c>
      <c r="H49">
        <f t="shared" si="23"/>
        <v>155.132482152984</v>
      </c>
      <c r="I49">
        <f t="shared" si="14"/>
        <v>0.46785426341002295</v>
      </c>
      <c r="J49">
        <f t="shared" si="15"/>
        <v>0</v>
      </c>
      <c r="K49">
        <f t="shared" si="16"/>
        <v>0.0005479948324064049</v>
      </c>
      <c r="L49">
        <f t="shared" si="17"/>
        <v>2.127659574468085</v>
      </c>
      <c r="M49">
        <f t="shared" si="18"/>
        <v>0.003</v>
      </c>
      <c r="N49">
        <f t="shared" si="19"/>
        <v>210000</v>
      </c>
      <c r="O49">
        <f t="shared" si="20"/>
        <v>0</v>
      </c>
      <c r="T49">
        <f t="shared" si="21"/>
        <v>36.5013882442917</v>
      </c>
      <c r="U49">
        <f t="shared" si="24"/>
        <v>0.0001275055569605739</v>
      </c>
      <c r="V49" s="34">
        <v>1</v>
      </c>
      <c r="AI49" t="s">
        <v>7</v>
      </c>
      <c r="AJ49">
        <v>0.85</v>
      </c>
      <c r="AN49" s="34" t="s">
        <v>116</v>
      </c>
      <c r="AO49" s="34" t="s">
        <v>85</v>
      </c>
      <c r="AP49" s="39" t="s">
        <v>120</v>
      </c>
      <c r="AR49" t="s">
        <v>99</v>
      </c>
      <c r="AS49" t="s">
        <v>93</v>
      </c>
      <c r="AT49" t="s">
        <v>93</v>
      </c>
      <c r="AX49" t="s">
        <v>93</v>
      </c>
      <c r="BC49" s="34"/>
      <c r="BD49" s="39" t="s">
        <v>120</v>
      </c>
      <c r="BE49" t="s">
        <v>119</v>
      </c>
      <c r="BG49" t="s">
        <v>93</v>
      </c>
      <c r="BH49">
        <f>AJ54</f>
        <v>59.8</v>
      </c>
    </row>
    <row r="50" spans="4:60" ht="15">
      <c r="D50">
        <f>B23</f>
        <v>501.2198181152344</v>
      </c>
      <c r="E50">
        <f t="shared" si="12"/>
        <v>146.0944112162327</v>
      </c>
      <c r="F50">
        <f t="shared" si="13"/>
        <v>127.57472106567928</v>
      </c>
      <c r="H50">
        <f>A23</f>
        <v>241.28332254204744</v>
      </c>
      <c r="I50">
        <f t="shared" si="14"/>
        <v>0.46785426341002295</v>
      </c>
      <c r="J50">
        <f t="shared" si="15"/>
        <v>0</v>
      </c>
      <c r="K50">
        <f t="shared" si="16"/>
        <v>0.0005479948324064049</v>
      </c>
      <c r="L50">
        <f t="shared" si="17"/>
        <v>2.127659574468085</v>
      </c>
      <c r="M50">
        <f t="shared" si="18"/>
        <v>0.003</v>
      </c>
      <c r="N50">
        <f t="shared" si="19"/>
        <v>210000</v>
      </c>
      <c r="O50">
        <f t="shared" si="20"/>
        <v>0</v>
      </c>
      <c r="T50">
        <f t="shared" si="21"/>
        <v>20.635114831561637</v>
      </c>
      <c r="U50">
        <f>(1-T50/C23)^2*V50</f>
        <v>0.0002113982956593088</v>
      </c>
      <c r="V50" s="34">
        <v>1</v>
      </c>
      <c r="AI50" t="s">
        <v>8</v>
      </c>
      <c r="AJ50">
        <v>0.15</v>
      </c>
      <c r="AN50">
        <v>13.31871564254401</v>
      </c>
      <c r="AO50">
        <f aca="true" t="shared" si="25" ref="AO50:AO59">AQ76-BO76/AM$37</f>
        <v>8.391541383220638</v>
      </c>
      <c r="AP50" s="41">
        <v>1</v>
      </c>
      <c r="AQ50">
        <f aca="true" t="shared" si="26" ref="AQ50:AQ59">(1-AN50/AO50)^2</f>
        <v>0.34475642069319756</v>
      </c>
      <c r="AR50">
        <f aca="true" t="shared" si="27" ref="AR50:AR59">(1-BO76/AK20)^2*BG50</f>
        <v>0.02981549530138961</v>
      </c>
      <c r="AT50">
        <v>1</v>
      </c>
      <c r="AW50">
        <f aca="true" t="shared" si="28" ref="AW50:AW59">(1-BO92/AK20)^2*AX50</f>
        <v>28.222511739109613</v>
      </c>
      <c r="AX50">
        <v>1</v>
      </c>
      <c r="BC50" s="34"/>
      <c r="BD50" s="41">
        <v>1</v>
      </c>
      <c r="BE50">
        <f aca="true" t="shared" si="29" ref="BE50:BE59">MIN(BO76,BO92)</f>
        <v>9.505347373122392</v>
      </c>
      <c r="BF50">
        <f>(AK20-BE50)^2*BG50</f>
        <v>1.9589582006163644</v>
      </c>
      <c r="BG50">
        <v>1</v>
      </c>
      <c r="BH50">
        <f>AJ55</f>
        <v>191</v>
      </c>
    </row>
    <row r="51" spans="1:59" ht="15">
      <c r="A51" t="s">
        <v>125</v>
      </c>
      <c r="B51" s="36">
        <v>0.05</v>
      </c>
      <c r="D51">
        <f>B28</f>
        <v>15.285331726074219</v>
      </c>
      <c r="E51">
        <f t="shared" si="12"/>
        <v>4.455333684056777</v>
      </c>
      <c r="F51">
        <f t="shared" si="13"/>
        <v>4.439262820410857</v>
      </c>
      <c r="H51">
        <f>A28</f>
        <v>397.5479423081413</v>
      </c>
      <c r="I51">
        <f t="shared" si="14"/>
        <v>0.46785426341002295</v>
      </c>
      <c r="J51">
        <f t="shared" si="15"/>
        <v>0</v>
      </c>
      <c r="K51">
        <f t="shared" si="16"/>
        <v>0.0005479948324064049</v>
      </c>
      <c r="L51">
        <f t="shared" si="17"/>
        <v>2.127659574468085</v>
      </c>
      <c r="M51">
        <f t="shared" si="18"/>
        <v>0.003</v>
      </c>
      <c r="N51">
        <f t="shared" si="19"/>
        <v>210000</v>
      </c>
      <c r="O51">
        <f t="shared" si="20"/>
        <v>0</v>
      </c>
      <c r="T51">
        <f t="shared" si="21"/>
        <v>0.4652353230808825</v>
      </c>
      <c r="U51">
        <f>(1-T51/C24)^2*V51</f>
        <v>0.9214251188366277</v>
      </c>
      <c r="V51" s="34">
        <v>1</v>
      </c>
      <c r="AI51" t="s">
        <v>10</v>
      </c>
      <c r="AJ51">
        <v>0.4</v>
      </c>
      <c r="AL51" s="36"/>
      <c r="AM51" s="36"/>
      <c r="AN51">
        <v>5.913131123134479</v>
      </c>
      <c r="AO51">
        <f t="shared" si="25"/>
        <v>13.32763456489231</v>
      </c>
      <c r="AP51" s="41">
        <v>2</v>
      </c>
      <c r="AQ51">
        <f t="shared" si="26"/>
        <v>0.30949810190817656</v>
      </c>
      <c r="AR51">
        <f t="shared" si="27"/>
        <v>0.0010031280471524686</v>
      </c>
      <c r="AT51">
        <v>1</v>
      </c>
      <c r="AW51">
        <f t="shared" si="28"/>
        <v>4.645134287786132</v>
      </c>
      <c r="AX51">
        <v>1</v>
      </c>
      <c r="BC51" s="34"/>
      <c r="BD51" s="41">
        <v>2</v>
      </c>
      <c r="BE51">
        <f t="shared" si="29"/>
        <v>15.704015103077412</v>
      </c>
      <c r="BF51">
        <f aca="true" t="shared" si="30" ref="BF51:BF59">(AK21-BE51)^2*BG51</f>
        <v>0.26383534648975493</v>
      </c>
      <c r="BG51">
        <v>1</v>
      </c>
    </row>
    <row r="52" spans="1:59" ht="15">
      <c r="A52" t="s">
        <v>126</v>
      </c>
      <c r="B52" s="36">
        <v>5</v>
      </c>
      <c r="D52">
        <v>0</v>
      </c>
      <c r="E52">
        <f t="shared" si="12"/>
        <v>0</v>
      </c>
      <c r="F52">
        <f t="shared" si="13"/>
        <v>0</v>
      </c>
      <c r="H52">
        <v>0</v>
      </c>
      <c r="I52">
        <f t="shared" si="14"/>
        <v>0.46785426341002295</v>
      </c>
      <c r="J52">
        <f t="shared" si="15"/>
        <v>0</v>
      </c>
      <c r="K52">
        <f t="shared" si="16"/>
        <v>0.0005479948324064049</v>
      </c>
      <c r="L52">
        <f t="shared" si="17"/>
        <v>2.127659574468085</v>
      </c>
      <c r="M52">
        <f t="shared" si="18"/>
        <v>0.003</v>
      </c>
      <c r="N52">
        <f t="shared" si="19"/>
        <v>210000</v>
      </c>
      <c r="O52">
        <f t="shared" si="20"/>
        <v>0</v>
      </c>
      <c r="T52">
        <f t="shared" si="21"/>
        <v>0</v>
      </c>
      <c r="U52">
        <f>(1-T52/C25)^2*V52</f>
        <v>1</v>
      </c>
      <c r="V52" s="34">
        <v>1</v>
      </c>
      <c r="AI52" s="37" t="s">
        <v>124</v>
      </c>
      <c r="AJ52">
        <v>2</v>
      </c>
      <c r="AL52" s="36"/>
      <c r="AM52" s="36"/>
      <c r="AN52">
        <v>18.754640293082158</v>
      </c>
      <c r="AO52">
        <f t="shared" si="25"/>
        <v>30.344251216209393</v>
      </c>
      <c r="AP52" s="41">
        <v>3</v>
      </c>
      <c r="AQ52">
        <f t="shared" si="26"/>
        <v>0.1458763413654067</v>
      </c>
      <c r="AR52">
        <f t="shared" si="27"/>
        <v>6.801504327646615E-06</v>
      </c>
      <c r="AT52">
        <v>1</v>
      </c>
      <c r="AW52">
        <f t="shared" si="28"/>
        <v>0.5463784725450659</v>
      </c>
      <c r="AX52">
        <v>1</v>
      </c>
      <c r="BC52" s="34"/>
      <c r="BD52" s="41">
        <v>3</v>
      </c>
      <c r="BE52">
        <f t="shared" si="29"/>
        <v>29.371879485461267</v>
      </c>
      <c r="BF52">
        <f t="shared" si="30"/>
        <v>0.005898433213400701</v>
      </c>
      <c r="BG52">
        <v>1</v>
      </c>
    </row>
    <row r="53" spans="4:59" ht="15">
      <c r="D53">
        <v>0</v>
      </c>
      <c r="E53">
        <f t="shared" si="12"/>
        <v>0</v>
      </c>
      <c r="F53">
        <f t="shared" si="13"/>
        <v>0</v>
      </c>
      <c r="H53">
        <v>0</v>
      </c>
      <c r="I53">
        <f t="shared" si="14"/>
        <v>0.46785426341002295</v>
      </c>
      <c r="J53">
        <f t="shared" si="15"/>
        <v>0</v>
      </c>
      <c r="K53">
        <f t="shared" si="16"/>
        <v>0.0005479948324064049</v>
      </c>
      <c r="L53">
        <f t="shared" si="17"/>
        <v>2.127659574468085</v>
      </c>
      <c r="M53">
        <f t="shared" si="18"/>
        <v>0.003</v>
      </c>
      <c r="N53">
        <f t="shared" si="19"/>
        <v>210000</v>
      </c>
      <c r="O53">
        <f t="shared" si="20"/>
        <v>0</v>
      </c>
      <c r="T53">
        <f t="shared" si="21"/>
        <v>0</v>
      </c>
      <c r="U53">
        <f>(1-T53/C26)^2*V53</f>
        <v>1</v>
      </c>
      <c r="V53" s="34">
        <v>1</v>
      </c>
      <c r="AI53" t="s">
        <v>96</v>
      </c>
      <c r="AL53" s="36"/>
      <c r="AM53" s="36"/>
      <c r="AN53">
        <v>0</v>
      </c>
      <c r="AO53">
        <f t="shared" si="25"/>
        <v>41.10249458484773</v>
      </c>
      <c r="AP53" s="41">
        <v>4</v>
      </c>
      <c r="AQ53">
        <f t="shared" si="26"/>
        <v>1</v>
      </c>
      <c r="AR53">
        <f t="shared" si="27"/>
        <v>1.552705969446686E-05</v>
      </c>
      <c r="AT53">
        <v>1</v>
      </c>
      <c r="AW53">
        <f t="shared" si="28"/>
        <v>0.08145538149615962</v>
      </c>
      <c r="AX53">
        <v>1</v>
      </c>
      <c r="BC53" s="34"/>
      <c r="BD53" s="41">
        <v>4</v>
      </c>
      <c r="BE53">
        <f t="shared" si="29"/>
        <v>39.715430097311135</v>
      </c>
      <c r="BF53">
        <f t="shared" si="30"/>
        <v>0.02468522816731158</v>
      </c>
      <c r="BG53">
        <v>1</v>
      </c>
    </row>
    <row r="54" spans="4:59" ht="15">
      <c r="D54">
        <v>0</v>
      </c>
      <c r="E54">
        <f t="shared" si="12"/>
        <v>0</v>
      </c>
      <c r="F54">
        <f t="shared" si="13"/>
        <v>0</v>
      </c>
      <c r="H54">
        <v>0</v>
      </c>
      <c r="I54">
        <f t="shared" si="14"/>
        <v>0.46785426341002295</v>
      </c>
      <c r="J54">
        <f t="shared" si="15"/>
        <v>0</v>
      </c>
      <c r="K54">
        <f t="shared" si="16"/>
        <v>0.0005479948324064049</v>
      </c>
      <c r="L54">
        <f t="shared" si="17"/>
        <v>2.127659574468085</v>
      </c>
      <c r="M54">
        <f t="shared" si="18"/>
        <v>0.003</v>
      </c>
      <c r="N54">
        <f t="shared" si="19"/>
        <v>210000</v>
      </c>
      <c r="O54">
        <f t="shared" si="20"/>
        <v>0</v>
      </c>
      <c r="T54">
        <f t="shared" si="21"/>
        <v>0</v>
      </c>
      <c r="U54">
        <f>(1-T54/C27)^2*V54</f>
        <v>1</v>
      </c>
      <c r="V54" s="34">
        <v>1</v>
      </c>
      <c r="AE54">
        <v>0</v>
      </c>
      <c r="AI54" t="s">
        <v>98</v>
      </c>
      <c r="AJ54" s="33">
        <v>59.8</v>
      </c>
      <c r="AL54" s="36"/>
      <c r="AM54" s="36"/>
      <c r="AN54">
        <v>124.58379383637642</v>
      </c>
      <c r="AO54">
        <f t="shared" si="25"/>
        <v>136.0284889853815</v>
      </c>
      <c r="AP54" s="41">
        <v>5</v>
      </c>
      <c r="AQ54">
        <f t="shared" si="26"/>
        <v>0.007078621812261433</v>
      </c>
      <c r="AR54">
        <f t="shared" si="27"/>
        <v>1.881758986697234E-07</v>
      </c>
      <c r="AT54">
        <v>1</v>
      </c>
      <c r="AW54">
        <f t="shared" si="28"/>
        <v>0.019671427675876076</v>
      </c>
      <c r="AX54">
        <v>5</v>
      </c>
      <c r="BC54" s="34"/>
      <c r="BD54" s="41">
        <v>5</v>
      </c>
      <c r="BE54">
        <f t="shared" si="29"/>
        <v>48.35540435909123</v>
      </c>
      <c r="BF54">
        <f t="shared" si="30"/>
        <v>0.0004396198884733078</v>
      </c>
      <c r="BG54">
        <v>1</v>
      </c>
    </row>
    <row r="55" spans="4:59" ht="15">
      <c r="D55">
        <f>B30</f>
        <v>0</v>
      </c>
      <c r="E55">
        <f t="shared" si="12"/>
        <v>0</v>
      </c>
      <c r="F55">
        <f t="shared" si="13"/>
        <v>0</v>
      </c>
      <c r="H55">
        <f>A30</f>
        <v>0</v>
      </c>
      <c r="I55">
        <f t="shared" si="14"/>
        <v>0.46785426341002295</v>
      </c>
      <c r="J55">
        <f t="shared" si="15"/>
        <v>0</v>
      </c>
      <c r="K55">
        <f t="shared" si="16"/>
        <v>0.0005479948324064049</v>
      </c>
      <c r="L55">
        <f t="shared" si="17"/>
        <v>2.127659574468085</v>
      </c>
      <c r="M55">
        <f t="shared" si="18"/>
        <v>0.003</v>
      </c>
      <c r="N55">
        <f t="shared" si="19"/>
        <v>210000</v>
      </c>
      <c r="O55">
        <f t="shared" si="20"/>
        <v>0</v>
      </c>
      <c r="T55">
        <f t="shared" si="21"/>
        <v>0</v>
      </c>
      <c r="U55">
        <v>0</v>
      </c>
      <c r="V55" s="34">
        <v>0</v>
      </c>
      <c r="W55" t="s">
        <v>87</v>
      </c>
      <c r="AE55">
        <v>0</v>
      </c>
      <c r="AI55" t="s">
        <v>97</v>
      </c>
      <c r="AJ55" s="33">
        <v>191</v>
      </c>
      <c r="AL55" s="36"/>
      <c r="AM55" s="36"/>
      <c r="AN55">
        <v>419.4423676643432</v>
      </c>
      <c r="AO55">
        <f t="shared" si="25"/>
        <v>347.52991269643627</v>
      </c>
      <c r="AP55" s="41">
        <v>6</v>
      </c>
      <c r="AQ55">
        <f t="shared" si="26"/>
        <v>0.04281775054383709</v>
      </c>
      <c r="AR55">
        <f t="shared" si="27"/>
        <v>1.37448400592503E-06</v>
      </c>
      <c r="AT55">
        <v>1</v>
      </c>
      <c r="AW55">
        <f t="shared" si="28"/>
        <v>0.0008707702071298314</v>
      </c>
      <c r="AX55">
        <v>1</v>
      </c>
      <c r="BC55" s="34"/>
      <c r="BD55" s="41">
        <v>6</v>
      </c>
      <c r="BE55">
        <f t="shared" si="29"/>
        <v>50.24771474258189</v>
      </c>
      <c r="BF55">
        <f t="shared" si="30"/>
        <v>0.0034622194923490477</v>
      </c>
      <c r="BG55">
        <v>1</v>
      </c>
    </row>
    <row r="56" spans="23:59" ht="15">
      <c r="W56">
        <f>SUM(U47:U55)*10000</f>
        <v>39218.087472260224</v>
      </c>
      <c r="AL56" s="36"/>
      <c r="AM56" s="36"/>
      <c r="AN56">
        <v>589.5760442445103</v>
      </c>
      <c r="AO56">
        <f t="shared" si="25"/>
        <v>472.4618139318967</v>
      </c>
      <c r="AP56" s="41">
        <v>7</v>
      </c>
      <c r="AQ56">
        <f t="shared" si="26"/>
        <v>0.06144490979739861</v>
      </c>
      <c r="AR56">
        <f t="shared" si="27"/>
        <v>1.660217721944236E-06</v>
      </c>
      <c r="AT56">
        <v>1</v>
      </c>
      <c r="AW56">
        <f t="shared" si="28"/>
        <v>0.0006002131080678213</v>
      </c>
      <c r="AX56">
        <v>1</v>
      </c>
      <c r="BC56" s="34"/>
      <c r="BD56" s="41">
        <v>7</v>
      </c>
      <c r="BE56">
        <f t="shared" si="29"/>
        <v>50.64843494094444</v>
      </c>
      <c r="BF56">
        <f t="shared" si="30"/>
        <v>0.004247942738072947</v>
      </c>
      <c r="BG56">
        <v>1</v>
      </c>
    </row>
    <row r="57" spans="4:59" ht="15">
      <c r="D57" t="s">
        <v>122</v>
      </c>
      <c r="E57" t="s">
        <v>123</v>
      </c>
      <c r="F57" t="s">
        <v>101</v>
      </c>
      <c r="G57" t="s">
        <v>102</v>
      </c>
      <c r="H57" t="s">
        <v>103</v>
      </c>
      <c r="I57" t="s">
        <v>104</v>
      </c>
      <c r="J57" t="s">
        <v>105</v>
      </c>
      <c r="K57" t="s">
        <v>106</v>
      </c>
      <c r="L57" t="s">
        <v>107</v>
      </c>
      <c r="N57" t="s">
        <v>113</v>
      </c>
      <c r="O57" t="s">
        <v>100</v>
      </c>
      <c r="P57" t="s">
        <v>114</v>
      </c>
      <c r="Q57" t="s">
        <v>115</v>
      </c>
      <c r="AI57" t="s">
        <v>79</v>
      </c>
      <c r="AJ57" s="33">
        <f>AD61</f>
        <v>0.6456010511868987</v>
      </c>
      <c r="AL57" s="36"/>
      <c r="AM57" s="36"/>
      <c r="AN57">
        <v>841.6830847620657</v>
      </c>
      <c r="AO57">
        <f t="shared" si="25"/>
        <v>630.0249001558007</v>
      </c>
      <c r="AP57" s="41">
        <v>8</v>
      </c>
      <c r="AQ57">
        <f t="shared" si="26"/>
        <v>0.11286380959819536</v>
      </c>
      <c r="AR57">
        <f t="shared" si="27"/>
        <v>2.339083743280656E-06</v>
      </c>
      <c r="AT57">
        <v>1</v>
      </c>
      <c r="AW57">
        <f t="shared" si="28"/>
        <v>0.0010109718902750811</v>
      </c>
      <c r="AX57">
        <v>1</v>
      </c>
      <c r="BC57" s="34"/>
      <c r="BD57" s="41">
        <v>8</v>
      </c>
      <c r="BE57">
        <f t="shared" si="29"/>
        <v>50.48870082752132</v>
      </c>
      <c r="BF57">
        <f t="shared" si="30"/>
        <v>0.005944382557047828</v>
      </c>
      <c r="BG57">
        <v>1</v>
      </c>
    </row>
    <row r="58" spans="4:59" ht="15">
      <c r="D58">
        <f aca="true" t="shared" si="31" ref="D58:D66">(1-B$40)*F47/3</f>
        <v>64.58986201035323</v>
      </c>
      <c r="E58">
        <f aca="true" t="shared" si="32" ref="E58:E66">7/3*E$41</f>
        <v>0.001278654608948278</v>
      </c>
      <c r="F58">
        <v>0</v>
      </c>
      <c r="G58">
        <v>0</v>
      </c>
      <c r="H58">
        <f aca="true" t="shared" si="33" ref="H58:H66">B$40*F47/B$45</f>
        <v>64.58986201035323</v>
      </c>
      <c r="I58">
        <v>1</v>
      </c>
      <c r="J58">
        <v>0</v>
      </c>
      <c r="K58">
        <v>1</v>
      </c>
      <c r="L58">
        <v>1</v>
      </c>
      <c r="N58">
        <f aca="true" t="shared" si="34" ref="N58:N66">L47*O47*E58*L58-L47*K47*D58*L58-M47*H47+M47*I47*O47-M47*I47*D58-N47*M47*E58-M47*F58+J47*K58-H47*G58*K58+I47*O47*G58*K58-I47*D58*G58*K58+O47*I58*K58-D58*I58*K58-H58*K58+J58*K58</f>
        <v>-130.37635370481547</v>
      </c>
      <c r="O58">
        <f aca="true" t="shared" si="35" ref="O58:O66">Q58*(-M47*H47*O47+M47*H47*D58-N47*M47*O47*E58-M47*O47*F58-N47*M47*K47*D58+J47*O47*K58-J47*D58*K58-H47*O47*G58*K58+H47*D58*G58*K58-O47*J58*K58+D58*H58*K58-D58*J58*K58)</f>
        <v>4158.607479804756</v>
      </c>
      <c r="P58">
        <f aca="true" t="shared" si="36" ref="P58:P66">-N58</f>
        <v>130.37635370481547</v>
      </c>
      <c r="Q58">
        <f aca="true" t="shared" si="37" ref="Q58:Q66">-L47*E58*L58+M47*I47+I47*G58*K58+I58*K58</f>
        <v>0.9986830210690635</v>
      </c>
      <c r="AI58" t="s">
        <v>80</v>
      </c>
      <c r="AJ58" s="33">
        <f>AD62</f>
        <v>2.478748609022903</v>
      </c>
      <c r="AL58" s="36"/>
      <c r="AM58" s="36"/>
      <c r="AN58">
        <v>1130.8866270414567</v>
      </c>
      <c r="AO58">
        <f t="shared" si="25"/>
        <v>807.5969567869287</v>
      </c>
      <c r="AP58" s="41">
        <v>9</v>
      </c>
      <c r="AQ58">
        <f t="shared" si="26"/>
        <v>0.16024862398338183</v>
      </c>
      <c r="AR58">
        <f t="shared" si="27"/>
        <v>4.0302953899657857E-07</v>
      </c>
      <c r="AT58">
        <v>1</v>
      </c>
      <c r="AW58">
        <f t="shared" si="28"/>
        <v>0.001466534210537617</v>
      </c>
      <c r="AX58">
        <v>1</v>
      </c>
      <c r="BC58" s="34"/>
      <c r="BD58" s="41">
        <v>9</v>
      </c>
      <c r="BE58">
        <f t="shared" si="29"/>
        <v>50.35767177023065</v>
      </c>
      <c r="BF58">
        <f t="shared" si="30"/>
        <v>0.0010207441932828204</v>
      </c>
      <c r="BG58">
        <v>1</v>
      </c>
    </row>
    <row r="59" spans="4:59" ht="15">
      <c r="D59">
        <f t="shared" si="31"/>
        <v>54.92763549611953</v>
      </c>
      <c r="E59">
        <f t="shared" si="32"/>
        <v>0.001278654608948278</v>
      </c>
      <c r="F59">
        <v>0</v>
      </c>
      <c r="G59">
        <v>0</v>
      </c>
      <c r="H59">
        <f t="shared" si="33"/>
        <v>54.92763549611953</v>
      </c>
      <c r="I59">
        <v>1</v>
      </c>
      <c r="J59">
        <v>0</v>
      </c>
      <c r="K59">
        <v>1</v>
      </c>
      <c r="L59">
        <v>1</v>
      </c>
      <c r="N59">
        <f t="shared" si="34"/>
        <v>-111.11164311737495</v>
      </c>
      <c r="O59">
        <f t="shared" si="35"/>
        <v>3011.121426146316</v>
      </c>
      <c r="P59">
        <f t="shared" si="36"/>
        <v>111.11164311737495</v>
      </c>
      <c r="Q59">
        <f t="shared" si="37"/>
        <v>0.9986830210690635</v>
      </c>
      <c r="AB59" t="s">
        <v>88</v>
      </c>
      <c r="AI59" t="s">
        <v>81</v>
      </c>
      <c r="AJ59" s="33">
        <f>AD63</f>
        <v>439.02445459605207</v>
      </c>
      <c r="AL59" s="36"/>
      <c r="AM59" s="36"/>
      <c r="AN59">
        <v>1397.0659178487329</v>
      </c>
      <c r="AO59">
        <f t="shared" si="25"/>
        <v>981.1615227679108</v>
      </c>
      <c r="AP59" s="41">
        <v>10</v>
      </c>
      <c r="AQ59">
        <f t="shared" si="26"/>
        <v>0.17968259142691037</v>
      </c>
      <c r="AR59">
        <f t="shared" si="27"/>
        <v>3.9019326745087164E-07</v>
      </c>
      <c r="AT59">
        <v>1</v>
      </c>
      <c r="AW59">
        <f t="shared" si="28"/>
        <v>0.0016931808209968</v>
      </c>
      <c r="AX59">
        <v>1</v>
      </c>
      <c r="BC59" s="34"/>
      <c r="BD59" s="41">
        <v>10</v>
      </c>
      <c r="BE59">
        <f t="shared" si="29"/>
        <v>50.42079237180824</v>
      </c>
      <c r="BF59">
        <f t="shared" si="30"/>
        <v>0.000990733175235324</v>
      </c>
      <c r="BG59">
        <v>1</v>
      </c>
    </row>
    <row r="60" spans="4:56" ht="15">
      <c r="D60">
        <f t="shared" si="31"/>
        <v>43.35724558935348</v>
      </c>
      <c r="E60">
        <f t="shared" si="32"/>
        <v>0.001278654608948278</v>
      </c>
      <c r="F60">
        <v>0</v>
      </c>
      <c r="G60">
        <v>0</v>
      </c>
      <c r="H60">
        <f t="shared" si="33"/>
        <v>43.35724558935348</v>
      </c>
      <c r="I60">
        <v>1</v>
      </c>
      <c r="J60">
        <v>0</v>
      </c>
      <c r="K60">
        <v>1</v>
      </c>
      <c r="L60">
        <v>1</v>
      </c>
      <c r="N60">
        <f t="shared" si="34"/>
        <v>-88.09684787205971</v>
      </c>
      <c r="O60">
        <f t="shared" si="35"/>
        <v>1882.5779970939266</v>
      </c>
      <c r="P60">
        <f t="shared" si="36"/>
        <v>88.09684787205971</v>
      </c>
      <c r="Q60">
        <f t="shared" si="37"/>
        <v>0.9986830210690635</v>
      </c>
      <c r="AB60" t="s">
        <v>92</v>
      </c>
      <c r="AD60" t="str">
        <f>C19</f>
        <v>Plot_272</v>
      </c>
      <c r="AL60" s="36"/>
      <c r="AM60" s="36"/>
      <c r="AP60" s="39"/>
      <c r="BC60" s="34"/>
      <c r="BD60" s="39"/>
    </row>
    <row r="61" spans="4:56" ht="15">
      <c r="D61">
        <f t="shared" si="31"/>
        <v>25.51494421313586</v>
      </c>
      <c r="E61">
        <f t="shared" si="32"/>
        <v>0.001278654608948278</v>
      </c>
      <c r="F61">
        <v>0</v>
      </c>
      <c r="G61">
        <v>0</v>
      </c>
      <c r="H61">
        <f t="shared" si="33"/>
        <v>25.51494421313586</v>
      </c>
      <c r="I61">
        <v>1</v>
      </c>
      <c r="J61">
        <v>0</v>
      </c>
      <c r="K61">
        <v>1</v>
      </c>
      <c r="L61">
        <v>1</v>
      </c>
      <c r="N61">
        <f t="shared" si="34"/>
        <v>-52.62485168250409</v>
      </c>
      <c r="O61">
        <f t="shared" si="35"/>
        <v>659.8025814767936</v>
      </c>
      <c r="P61">
        <f t="shared" si="36"/>
        <v>52.62485168250409</v>
      </c>
      <c r="Q61">
        <f t="shared" si="37"/>
        <v>0.9986830210690635</v>
      </c>
      <c r="AB61" t="str">
        <f>A47</f>
        <v>theta</v>
      </c>
      <c r="AD61">
        <f>B47</f>
        <v>0.6456010511868987</v>
      </c>
      <c r="AI61" t="s">
        <v>131</v>
      </c>
      <c r="AJ61">
        <v>750</v>
      </c>
      <c r="AL61" s="36"/>
      <c r="AM61" s="36"/>
      <c r="AP61" s="39"/>
      <c r="BC61" s="34"/>
      <c r="BD61" s="39"/>
    </row>
    <row r="62" spans="4:60" ht="15">
      <c r="D62">
        <f t="shared" si="31"/>
        <v>0.8878525640821713</v>
      </c>
      <c r="E62">
        <f t="shared" si="32"/>
        <v>0.001278654608948278</v>
      </c>
      <c r="F62">
        <v>0</v>
      </c>
      <c r="G62">
        <v>0</v>
      </c>
      <c r="H62">
        <f t="shared" si="33"/>
        <v>0.8878525640821714</v>
      </c>
      <c r="I62">
        <v>1</v>
      </c>
      <c r="J62">
        <v>0</v>
      </c>
      <c r="K62">
        <v>1</v>
      </c>
      <c r="L62">
        <v>1</v>
      </c>
      <c r="N62">
        <f t="shared" si="34"/>
        <v>-3.776182704095265</v>
      </c>
      <c r="O62">
        <f t="shared" si="35"/>
        <v>1.538625716759006</v>
      </c>
      <c r="P62">
        <f t="shared" si="36"/>
        <v>3.776182704095265</v>
      </c>
      <c r="Q62">
        <f t="shared" si="37"/>
        <v>0.9986830210690635</v>
      </c>
      <c r="AB62" t="str">
        <f>A48</f>
        <v>PSlight_absorption</v>
      </c>
      <c r="AD62">
        <f>B48</f>
        <v>2.478748609022903</v>
      </c>
      <c r="AI62" t="s">
        <v>129</v>
      </c>
      <c r="AJ62">
        <f>AJ61-80</f>
        <v>670</v>
      </c>
      <c r="AL62" s="37"/>
      <c r="AM62" s="36"/>
      <c r="AP62" s="39"/>
      <c r="AU62" t="s">
        <v>87</v>
      </c>
      <c r="AY62" t="s">
        <v>87</v>
      </c>
      <c r="BC62" s="34"/>
      <c r="BD62" s="39"/>
      <c r="BH62" t="s">
        <v>87</v>
      </c>
    </row>
    <row r="63" spans="4:60" ht="15">
      <c r="D63">
        <f t="shared" si="31"/>
        <v>0</v>
      </c>
      <c r="E63">
        <f t="shared" si="32"/>
        <v>0.001278654608948278</v>
      </c>
      <c r="F63">
        <v>0</v>
      </c>
      <c r="G63">
        <v>0</v>
      </c>
      <c r="H63">
        <f t="shared" si="33"/>
        <v>0</v>
      </c>
      <c r="I63">
        <v>1</v>
      </c>
      <c r="J63">
        <v>0</v>
      </c>
      <c r="K63">
        <v>1</v>
      </c>
      <c r="L63">
        <v>1</v>
      </c>
      <c r="N63">
        <f t="shared" si="34"/>
        <v>-0.8055524036374152</v>
      </c>
      <c r="O63">
        <f t="shared" si="35"/>
        <v>0</v>
      </c>
      <c r="P63">
        <f t="shared" si="36"/>
        <v>0.8055524036374152</v>
      </c>
      <c r="Q63">
        <f t="shared" si="37"/>
        <v>0.9986830210690635</v>
      </c>
      <c r="AB63" t="str">
        <f>A49</f>
        <v>Jmax(T)</v>
      </c>
      <c r="AD63">
        <f>B49</f>
        <v>439.02445459605207</v>
      </c>
      <c r="AI63" t="s">
        <v>130</v>
      </c>
      <c r="AJ63">
        <f>AJ61+100</f>
        <v>850</v>
      </c>
      <c r="AQ63">
        <f>SUM(AQ50:AQ57)</f>
        <v>2.0243359557184735</v>
      </c>
      <c r="AU63">
        <f>AR63+AQ63</f>
        <v>2.0243359557184735</v>
      </c>
      <c r="AY63">
        <f>AW63</f>
        <v>0</v>
      </c>
      <c r="BF63">
        <f>SUM(BF50:BF62)</f>
        <v>2.2694828505312934</v>
      </c>
      <c r="BH63">
        <f>AQ63+BF63</f>
        <v>4.293818806249767</v>
      </c>
    </row>
    <row r="64" spans="4:55" ht="15">
      <c r="D64">
        <f t="shared" si="31"/>
        <v>0</v>
      </c>
      <c r="E64">
        <f t="shared" si="32"/>
        <v>0.001278654608948278</v>
      </c>
      <c r="F64">
        <v>0</v>
      </c>
      <c r="G64">
        <v>0</v>
      </c>
      <c r="H64">
        <f t="shared" si="33"/>
        <v>0</v>
      </c>
      <c r="I64">
        <v>1</v>
      </c>
      <c r="J64">
        <v>0</v>
      </c>
      <c r="K64">
        <v>1</v>
      </c>
      <c r="L64">
        <v>1</v>
      </c>
      <c r="N64">
        <f t="shared" si="34"/>
        <v>-0.8055524036374152</v>
      </c>
      <c r="O64">
        <f t="shared" si="35"/>
        <v>0</v>
      </c>
      <c r="P64">
        <f t="shared" si="36"/>
        <v>0.8055524036374152</v>
      </c>
      <c r="Q64">
        <f t="shared" si="37"/>
        <v>0.9986830210690635</v>
      </c>
      <c r="BB64" s="34"/>
      <c r="BC64" s="34"/>
    </row>
    <row r="65" spans="4:55" ht="15">
      <c r="D65">
        <f t="shared" si="31"/>
        <v>0</v>
      </c>
      <c r="E65">
        <f t="shared" si="32"/>
        <v>0.001278654608948278</v>
      </c>
      <c r="F65">
        <v>0</v>
      </c>
      <c r="G65">
        <v>0</v>
      </c>
      <c r="H65">
        <f t="shared" si="33"/>
        <v>0</v>
      </c>
      <c r="I65">
        <v>1</v>
      </c>
      <c r="J65">
        <v>0</v>
      </c>
      <c r="K65">
        <v>1</v>
      </c>
      <c r="L65">
        <v>1</v>
      </c>
      <c r="N65">
        <f t="shared" si="34"/>
        <v>-0.8055524036374152</v>
      </c>
      <c r="O65">
        <f t="shared" si="35"/>
        <v>0</v>
      </c>
      <c r="P65">
        <f t="shared" si="36"/>
        <v>0.8055524036374152</v>
      </c>
      <c r="Q65">
        <f t="shared" si="37"/>
        <v>0.9986830210690635</v>
      </c>
      <c r="AW65" s="34"/>
      <c r="AX65" s="34"/>
      <c r="AY65" s="34"/>
      <c r="BB65" s="34"/>
      <c r="BC65" s="34"/>
    </row>
    <row r="66" spans="4:55" ht="15">
      <c r="D66">
        <f t="shared" si="31"/>
        <v>0</v>
      </c>
      <c r="E66">
        <f t="shared" si="32"/>
        <v>0.001278654608948278</v>
      </c>
      <c r="F66">
        <v>0</v>
      </c>
      <c r="G66">
        <v>0</v>
      </c>
      <c r="H66">
        <f t="shared" si="33"/>
        <v>0</v>
      </c>
      <c r="I66">
        <v>1</v>
      </c>
      <c r="J66">
        <v>0</v>
      </c>
      <c r="K66">
        <v>1</v>
      </c>
      <c r="L66">
        <v>1</v>
      </c>
      <c r="N66">
        <f t="shared" si="34"/>
        <v>-0.8055524036374152</v>
      </c>
      <c r="O66">
        <f t="shared" si="35"/>
        <v>0</v>
      </c>
      <c r="P66">
        <f t="shared" si="36"/>
        <v>0.8055524036374152</v>
      </c>
      <c r="Q66">
        <f t="shared" si="37"/>
        <v>0.9986830210690635</v>
      </c>
      <c r="AW66" s="34"/>
      <c r="AX66" s="34"/>
      <c r="AY66" s="34"/>
      <c r="BB66" s="34"/>
      <c r="BC66" s="34"/>
    </row>
    <row r="67" spans="49:63" ht="15">
      <c r="AW67" s="34"/>
      <c r="AX67" s="34"/>
      <c r="AY67" s="34"/>
      <c r="AZ67" s="34"/>
      <c r="BA67" s="34"/>
      <c r="BB67" s="34"/>
      <c r="BC67" s="34"/>
      <c r="BK67" t="s">
        <v>88</v>
      </c>
    </row>
    <row r="68" spans="63:65" ht="15">
      <c r="BK68" t="s">
        <v>92</v>
      </c>
      <c r="BM68" t="str">
        <f>AK19</f>
        <v>Plot_272</v>
      </c>
    </row>
    <row r="69" spans="63:69" ht="15">
      <c r="BK69" t="str">
        <f>AI54</f>
        <v>Vcmax(T)</v>
      </c>
      <c r="BM69" s="33">
        <f>AJ54</f>
        <v>59.8</v>
      </c>
      <c r="BQ69" s="33"/>
    </row>
    <row r="70" spans="63:69" ht="15">
      <c r="BK70" t="str">
        <f>AI55</f>
        <v>Vpmax(T)</v>
      </c>
      <c r="BM70" s="33">
        <f>AJ55</f>
        <v>191</v>
      </c>
      <c r="BQ70" s="33"/>
    </row>
    <row r="71" spans="63:69" ht="15">
      <c r="BK71" t="str">
        <f>AI57</f>
        <v>theta</v>
      </c>
      <c r="BM71" s="33">
        <f>AJ57</f>
        <v>0.6456010511868987</v>
      </c>
      <c r="BQ71" s="33"/>
    </row>
    <row r="72" spans="63:69" ht="15">
      <c r="BK72" t="str">
        <f>AI58</f>
        <v>PSlight_absorption</v>
      </c>
      <c r="BM72" s="33">
        <f>AJ58</f>
        <v>2.478748609022903</v>
      </c>
      <c r="BQ72" s="33"/>
    </row>
    <row r="73" spans="63:69" ht="15">
      <c r="BK73" t="str">
        <f>AI59</f>
        <v>Jmax(T)</v>
      </c>
      <c r="BM73" s="33">
        <f>AJ59</f>
        <v>439.02445459605207</v>
      </c>
      <c r="BQ73" s="33"/>
    </row>
    <row r="75" spans="43:67" ht="15">
      <c r="AQ75" t="s">
        <v>1</v>
      </c>
      <c r="AS75" t="s">
        <v>108</v>
      </c>
      <c r="AT75" t="s">
        <v>73</v>
      </c>
      <c r="AU75" t="s">
        <v>75</v>
      </c>
      <c r="AV75" t="s">
        <v>109</v>
      </c>
      <c r="AW75" t="s">
        <v>77</v>
      </c>
      <c r="AX75" t="s">
        <v>12</v>
      </c>
      <c r="AY75" t="s">
        <v>74</v>
      </c>
      <c r="BA75" t="s">
        <v>98</v>
      </c>
      <c r="BB75" t="s">
        <v>110</v>
      </c>
      <c r="BC75" t="s">
        <v>111</v>
      </c>
      <c r="BD75" t="s">
        <v>112</v>
      </c>
      <c r="BE75" t="s">
        <v>103</v>
      </c>
      <c r="BF75" t="s">
        <v>104</v>
      </c>
      <c r="BG75" t="s">
        <v>105</v>
      </c>
      <c r="BH75" t="s">
        <v>106</v>
      </c>
      <c r="BI75" t="s">
        <v>107</v>
      </c>
      <c r="BK75" t="s">
        <v>113</v>
      </c>
      <c r="BL75" t="s">
        <v>100</v>
      </c>
      <c r="BM75" t="s">
        <v>114</v>
      </c>
      <c r="BN75" t="s">
        <v>115</v>
      </c>
      <c r="BO75" t="s">
        <v>94</v>
      </c>
    </row>
    <row r="76" spans="43:67" ht="15">
      <c r="AQ76">
        <f aca="true" t="shared" si="38" ref="AQ76:AQ85">AI20</f>
        <v>12.772067970787</v>
      </c>
      <c r="AS76">
        <f aca="true" t="shared" si="39" ref="AS76:AS85">1/AM$37</f>
        <v>0.4608486587194985</v>
      </c>
      <c r="AT76">
        <f aca="true" t="shared" si="40" ref="AT76:AT85">AM$40</f>
        <v>0</v>
      </c>
      <c r="AU76">
        <f aca="true" t="shared" si="41" ref="AU76:AU85">AM$44</f>
        <v>0.0005558447019990638</v>
      </c>
      <c r="AV76">
        <f aca="true" t="shared" si="42" ref="AV76:AV85">AJ$38/0.047</f>
        <v>2.127659574468085</v>
      </c>
      <c r="AW76">
        <f aca="true" t="shared" si="43" ref="AW76:AW85">AJ$39</f>
        <v>0.003</v>
      </c>
      <c r="AX76">
        <f aca="true" t="shared" si="44" ref="AX76:AX85">AJ$40</f>
        <v>210000</v>
      </c>
      <c r="AY76">
        <f aca="true" t="shared" si="45" ref="AY76:AY85">AM$39</f>
        <v>0</v>
      </c>
      <c r="BA76">
        <f aca="true" t="shared" si="46" ref="BA76:BA85">AJ$54</f>
        <v>59.8</v>
      </c>
      <c r="BB76">
        <f aca="true" t="shared" si="47" ref="BB76:BB85">AM$41/AM$42</f>
        <v>0.00792223114626618</v>
      </c>
      <c r="BC76">
        <f aca="true" t="shared" si="48" ref="BC76:BC85">AM$41</f>
        <v>2625.799156735649</v>
      </c>
      <c r="BD76">
        <f aca="true" t="shared" si="49" ref="BD76:BD85">AJ$55/(AN50+AM$38)</f>
        <v>1.474368495874338</v>
      </c>
      <c r="BE76">
        <v>0</v>
      </c>
      <c r="BF76">
        <v>1</v>
      </c>
      <c r="BG76">
        <v>0</v>
      </c>
      <c r="BH76">
        <v>1</v>
      </c>
      <c r="BI76">
        <v>1</v>
      </c>
      <c r="BK76">
        <f aca="true" t="shared" si="50" ref="BK76:BK85">AV76*AY76*BB76*BI76-AV76*AU76*BA76*BI76-AW76*AQ76+AW76*AS76*AY76-AW76*AS76*BA76-AX76*AW76*BB76-AW76*BC76+AT76*BH76-AQ76*BD76*BH76+AS76*AY76*BD76*BH76-AS76*BA76*BD76*BH76+AY76*BF76*BH76-BA76*BF76*BH76-BE76*BH76+BG76*BH76</f>
        <v>-132.32260503556444</v>
      </c>
      <c r="BL76">
        <f aca="true" t="shared" si="51" ref="BL76:BL85">BN76*(-AW76*AQ76*AY76+AW76*AQ76*BA76-AX76*AW76*AY76*BB76-AW76*AY76*BC76-AX76*AW76*AU76*BA76+AT76*AY76*BH76-AT76*BA76*BH76-AQ76*AY76*BD76*BH76+AQ76*BA76*BD76*BH76-AY76*BG76*BH76+BA76*BE76*BH76-BA76*BG76*BH76)</f>
        <v>1842.7469036844898</v>
      </c>
      <c r="BM76">
        <f>-BK76</f>
        <v>132.32260503556444</v>
      </c>
      <c r="BN76">
        <f aca="true" t="shared" si="52" ref="BN76:BN85">-AV76*BB76*BI76+AW76*AS76+AS76*BD76*BH76+BF76*BH76</f>
        <v>1.663987478808629</v>
      </c>
      <c r="BO76">
        <f>(-((BK76^2-4*BL76)^0.5)+BM76)/(2*BN76)</f>
        <v>9.505347373122392</v>
      </c>
    </row>
    <row r="77" spans="43:67" ht="15">
      <c r="AQ77">
        <f t="shared" si="38"/>
        <v>20.56480886165628</v>
      </c>
      <c r="AS77">
        <f t="shared" si="39"/>
        <v>0.4608486587194985</v>
      </c>
      <c r="AT77">
        <f t="shared" si="40"/>
        <v>0</v>
      </c>
      <c r="AU77">
        <f t="shared" si="41"/>
        <v>0.0005558447019990638</v>
      </c>
      <c r="AV77">
        <f t="shared" si="42"/>
        <v>2.127659574468085</v>
      </c>
      <c r="AW77">
        <f t="shared" si="43"/>
        <v>0.003</v>
      </c>
      <c r="AX77">
        <f t="shared" si="44"/>
        <v>210000</v>
      </c>
      <c r="AY77">
        <f t="shared" si="45"/>
        <v>0</v>
      </c>
      <c r="BA77">
        <f t="shared" si="46"/>
        <v>59.8</v>
      </c>
      <c r="BB77">
        <f t="shared" si="47"/>
        <v>0.00792223114626618</v>
      </c>
      <c r="BC77">
        <f t="shared" si="48"/>
        <v>2625.799156735649</v>
      </c>
      <c r="BD77">
        <f t="shared" si="49"/>
        <v>1.5637612821614386</v>
      </c>
      <c r="BE77">
        <v>0</v>
      </c>
      <c r="BF77">
        <v>1</v>
      </c>
      <c r="BG77">
        <v>0</v>
      </c>
      <c r="BH77">
        <v>1</v>
      </c>
      <c r="BI77">
        <v>1</v>
      </c>
      <c r="BK77">
        <f t="shared" si="50"/>
        <v>-148.13725391829615</v>
      </c>
      <c r="BL77">
        <f t="shared" si="51"/>
        <v>3249.7803916897983</v>
      </c>
      <c r="BM77">
        <f>-BK77</f>
        <v>148.13725391829615</v>
      </c>
      <c r="BN77">
        <f t="shared" si="52"/>
        <v>1.7051840244682381</v>
      </c>
      <c r="BO77">
        <f>(-((BK77^2-4*BL77)^0.5)+BM77)/(2*BN77)</f>
        <v>15.704015103077412</v>
      </c>
    </row>
    <row r="78" spans="43:67" ht="15">
      <c r="AQ78">
        <f t="shared" si="38"/>
        <v>43.88024248115497</v>
      </c>
      <c r="AS78">
        <f t="shared" si="39"/>
        <v>0.4608486587194985</v>
      </c>
      <c r="AT78">
        <f t="shared" si="40"/>
        <v>0</v>
      </c>
      <c r="AU78">
        <f t="shared" si="41"/>
        <v>0.0005558447019990638</v>
      </c>
      <c r="AV78">
        <f t="shared" si="42"/>
        <v>2.127659574468085</v>
      </c>
      <c r="AW78">
        <f t="shared" si="43"/>
        <v>0.003</v>
      </c>
      <c r="AX78">
        <f t="shared" si="44"/>
        <v>210000</v>
      </c>
      <c r="AY78">
        <f t="shared" si="45"/>
        <v>0</v>
      </c>
      <c r="BA78">
        <f t="shared" si="46"/>
        <v>59.8</v>
      </c>
      <c r="BB78">
        <f t="shared" si="47"/>
        <v>0.00792223114626618</v>
      </c>
      <c r="BC78">
        <f t="shared" si="48"/>
        <v>2625.799156735649</v>
      </c>
      <c r="BD78">
        <f t="shared" si="49"/>
        <v>1.4149938994425018</v>
      </c>
      <c r="BE78">
        <v>0</v>
      </c>
      <c r="BF78">
        <v>1</v>
      </c>
      <c r="BG78">
        <v>0</v>
      </c>
      <c r="BH78">
        <v>1</v>
      </c>
      <c r="BI78">
        <v>1</v>
      </c>
      <c r="BK78">
        <f t="shared" si="50"/>
        <v>-174.03918068566162</v>
      </c>
      <c r="BL78">
        <f t="shared" si="51"/>
        <v>6055.396602414722</v>
      </c>
      <c r="BM78">
        <f aca="true" t="shared" si="53" ref="BM78:BM85">-BK78</f>
        <v>174.03918068566162</v>
      </c>
      <c r="BN78">
        <f t="shared" si="52"/>
        <v>1.636624775681006</v>
      </c>
      <c r="BO78">
        <f aca="true" t="shared" si="54" ref="BO78:BO85">(-((BK78^2-4*BL78)^0.5)+BM78)/(2*BN78)</f>
        <v>29.371879485461267</v>
      </c>
    </row>
    <row r="79" spans="43:67" ht="15">
      <c r="AQ79">
        <f t="shared" si="38"/>
        <v>59.405297275661574</v>
      </c>
      <c r="AS79">
        <f t="shared" si="39"/>
        <v>0.4608486587194985</v>
      </c>
      <c r="AT79">
        <f t="shared" si="40"/>
        <v>0</v>
      </c>
      <c r="AU79">
        <f t="shared" si="41"/>
        <v>0.0005558447019990638</v>
      </c>
      <c r="AV79">
        <f t="shared" si="42"/>
        <v>2.127659574468085</v>
      </c>
      <c r="AW79">
        <f t="shared" si="43"/>
        <v>0.003</v>
      </c>
      <c r="AX79">
        <f t="shared" si="44"/>
        <v>210000</v>
      </c>
      <c r="AY79">
        <f t="shared" si="45"/>
        <v>0</v>
      </c>
      <c r="BA79">
        <f t="shared" si="46"/>
        <v>59.8</v>
      </c>
      <c r="BB79">
        <f t="shared" si="47"/>
        <v>0.00792223114626618</v>
      </c>
      <c r="BC79">
        <f t="shared" si="48"/>
        <v>2625.799156735649</v>
      </c>
      <c r="BD79">
        <f t="shared" si="49"/>
        <v>1.6433178754303401</v>
      </c>
      <c r="BE79">
        <v>0</v>
      </c>
      <c r="BF79">
        <v>1</v>
      </c>
      <c r="BG79">
        <v>0</v>
      </c>
      <c r="BH79">
        <v>1</v>
      </c>
      <c r="BI79">
        <v>1</v>
      </c>
      <c r="BK79">
        <f t="shared" si="50"/>
        <v>-215.9095906671335</v>
      </c>
      <c r="BL79">
        <f t="shared" si="51"/>
        <v>10150.61547181128</v>
      </c>
      <c r="BM79">
        <f t="shared" si="53"/>
        <v>215.9095906671335</v>
      </c>
      <c r="BN79">
        <f t="shared" si="52"/>
        <v>1.7418475737685042</v>
      </c>
      <c r="BO79">
        <f t="shared" si="54"/>
        <v>39.715430097311135</v>
      </c>
    </row>
    <row r="80" spans="43:67" ht="15">
      <c r="AQ80">
        <f t="shared" si="38"/>
        <v>158.31301222610767</v>
      </c>
      <c r="AS80">
        <f t="shared" si="39"/>
        <v>0.4608486587194985</v>
      </c>
      <c r="AT80">
        <f t="shared" si="40"/>
        <v>0</v>
      </c>
      <c r="AU80">
        <f t="shared" si="41"/>
        <v>0.0005558447019990638</v>
      </c>
      <c r="AV80">
        <f t="shared" si="42"/>
        <v>2.127659574468085</v>
      </c>
      <c r="AW80">
        <f t="shared" si="43"/>
        <v>0.003</v>
      </c>
      <c r="AX80">
        <f t="shared" si="44"/>
        <v>210000</v>
      </c>
      <c r="AY80">
        <f t="shared" si="45"/>
        <v>0</v>
      </c>
      <c r="BA80">
        <f t="shared" si="46"/>
        <v>59.8</v>
      </c>
      <c r="BB80">
        <f t="shared" si="47"/>
        <v>0.00792223114626618</v>
      </c>
      <c r="BC80">
        <f t="shared" si="48"/>
        <v>2625.799156735649</v>
      </c>
      <c r="BD80">
        <f t="shared" si="49"/>
        <v>0.7931496201925168</v>
      </c>
      <c r="BE80">
        <v>0</v>
      </c>
      <c r="BF80">
        <v>1</v>
      </c>
      <c r="BG80">
        <v>0</v>
      </c>
      <c r="BH80">
        <v>1</v>
      </c>
      <c r="BI80">
        <v>1</v>
      </c>
      <c r="BK80">
        <f t="shared" si="50"/>
        <v>-220.72085819559504</v>
      </c>
      <c r="BL80">
        <f t="shared" si="51"/>
        <v>10147.373020875057</v>
      </c>
      <c r="BM80">
        <f t="shared" si="53"/>
        <v>220.72085819559504</v>
      </c>
      <c r="BN80">
        <f t="shared" si="52"/>
        <v>1.3500486736562571</v>
      </c>
      <c r="BO80">
        <f t="shared" si="54"/>
        <v>48.35540435909123</v>
      </c>
    </row>
    <row r="81" spans="43:67" ht="15">
      <c r="AQ81">
        <f t="shared" si="38"/>
        <v>370.6865046392751</v>
      </c>
      <c r="AS81">
        <f t="shared" si="39"/>
        <v>0.4608486587194985</v>
      </c>
      <c r="AT81">
        <f t="shared" si="40"/>
        <v>0</v>
      </c>
      <c r="AU81">
        <f t="shared" si="41"/>
        <v>0.0005558447019990638</v>
      </c>
      <c r="AV81">
        <f t="shared" si="42"/>
        <v>2.127659574468085</v>
      </c>
      <c r="AW81">
        <f t="shared" si="43"/>
        <v>0.003</v>
      </c>
      <c r="AX81">
        <f t="shared" si="44"/>
        <v>210000</v>
      </c>
      <c r="AY81">
        <f t="shared" si="45"/>
        <v>0</v>
      </c>
      <c r="BA81">
        <f t="shared" si="46"/>
        <v>59.8</v>
      </c>
      <c r="BB81">
        <f t="shared" si="47"/>
        <v>0.00792223114626618</v>
      </c>
      <c r="BC81">
        <f t="shared" si="48"/>
        <v>2625.799156735649</v>
      </c>
      <c r="BD81">
        <f t="shared" si="49"/>
        <v>0.3565623821953031</v>
      </c>
      <c r="BE81">
        <v>0</v>
      </c>
      <c r="BF81">
        <v>1</v>
      </c>
      <c r="BG81">
        <v>0</v>
      </c>
      <c r="BH81">
        <v>1</v>
      </c>
      <c r="BI81">
        <v>1</v>
      </c>
      <c r="BK81">
        <f t="shared" si="50"/>
        <v>-215.93313784189922</v>
      </c>
      <c r="BL81">
        <f t="shared" si="51"/>
        <v>9132.764525982093</v>
      </c>
      <c r="BM81">
        <f t="shared" si="53"/>
        <v>215.93313784189922</v>
      </c>
      <c r="BN81">
        <f t="shared" si="52"/>
        <v>1.1488480306111906</v>
      </c>
      <c r="BO81">
        <f t="shared" si="54"/>
        <v>50.24771474258189</v>
      </c>
    </row>
    <row r="82" spans="43:67" ht="15">
      <c r="AQ82">
        <f t="shared" si="38"/>
        <v>495.80307724067274</v>
      </c>
      <c r="AS82">
        <f t="shared" si="39"/>
        <v>0.4608486587194985</v>
      </c>
      <c r="AT82">
        <f t="shared" si="40"/>
        <v>0</v>
      </c>
      <c r="AU82">
        <f t="shared" si="41"/>
        <v>0.0005558447019990638</v>
      </c>
      <c r="AV82">
        <f t="shared" si="42"/>
        <v>2.127659574468085</v>
      </c>
      <c r="AW82">
        <f t="shared" si="43"/>
        <v>0.003</v>
      </c>
      <c r="AX82">
        <f t="shared" si="44"/>
        <v>210000</v>
      </c>
      <c r="AY82">
        <f t="shared" si="45"/>
        <v>0</v>
      </c>
      <c r="BA82">
        <f t="shared" si="46"/>
        <v>59.8</v>
      </c>
      <c r="BB82">
        <f t="shared" si="47"/>
        <v>0.00792223114626618</v>
      </c>
      <c r="BC82">
        <f t="shared" si="48"/>
        <v>2625.799156735649</v>
      </c>
      <c r="BD82">
        <f t="shared" si="49"/>
        <v>0.27061324946774845</v>
      </c>
      <c r="BE82">
        <v>0</v>
      </c>
      <c r="BF82">
        <v>1</v>
      </c>
      <c r="BG82">
        <v>0</v>
      </c>
      <c r="BH82">
        <v>1</v>
      </c>
      <c r="BI82">
        <v>1</v>
      </c>
      <c r="BK82">
        <f t="shared" si="50"/>
        <v>-215.93785560245198</v>
      </c>
      <c r="BL82">
        <f t="shared" si="51"/>
        <v>8975.319935853553</v>
      </c>
      <c r="BM82">
        <f t="shared" si="53"/>
        <v>215.93785560245198</v>
      </c>
      <c r="BN82">
        <f t="shared" si="52"/>
        <v>1.1092384880755928</v>
      </c>
      <c r="BO82">
        <f t="shared" si="54"/>
        <v>50.64843494094444</v>
      </c>
    </row>
    <row r="83" spans="43:67" ht="15">
      <c r="AQ83">
        <f t="shared" si="38"/>
        <v>653.2925502126539</v>
      </c>
      <c r="AS83">
        <f t="shared" si="39"/>
        <v>0.4608486587194985</v>
      </c>
      <c r="AT83">
        <f t="shared" si="40"/>
        <v>0</v>
      </c>
      <c r="AU83">
        <f t="shared" si="41"/>
        <v>0.0005558447019990638</v>
      </c>
      <c r="AV83">
        <f t="shared" si="42"/>
        <v>2.127659574468085</v>
      </c>
      <c r="AW83">
        <f t="shared" si="43"/>
        <v>0.003</v>
      </c>
      <c r="AX83">
        <f t="shared" si="44"/>
        <v>210000</v>
      </c>
      <c r="AY83">
        <f t="shared" si="45"/>
        <v>0</v>
      </c>
      <c r="BA83">
        <f t="shared" si="46"/>
        <v>59.8</v>
      </c>
      <c r="BB83">
        <f t="shared" si="47"/>
        <v>0.00792223114626618</v>
      </c>
      <c r="BC83">
        <f t="shared" si="48"/>
        <v>2625.799156735649</v>
      </c>
      <c r="BD83">
        <f t="shared" si="49"/>
        <v>0.19939214447000772</v>
      </c>
      <c r="BE83">
        <v>0</v>
      </c>
      <c r="BF83">
        <v>1</v>
      </c>
      <c r="BG83">
        <v>0</v>
      </c>
      <c r="BH83">
        <v>1</v>
      </c>
      <c r="BI83">
        <v>1</v>
      </c>
      <c r="BK83">
        <f t="shared" si="50"/>
        <v>-210.53808013384008</v>
      </c>
      <c r="BL83">
        <f t="shared" si="51"/>
        <v>8488.502620619081</v>
      </c>
      <c r="BM83">
        <f t="shared" si="53"/>
        <v>210.53808013384008</v>
      </c>
      <c r="BN83">
        <f t="shared" si="52"/>
        <v>1.0764163373648634</v>
      </c>
      <c r="BO83">
        <f t="shared" si="54"/>
        <v>50.48870082752132</v>
      </c>
    </row>
    <row r="84" spans="43:67" ht="15">
      <c r="AQ84">
        <f t="shared" si="38"/>
        <v>830.8042222784762</v>
      </c>
      <c r="AS84">
        <f t="shared" si="39"/>
        <v>0.4608486587194985</v>
      </c>
      <c r="AT84">
        <f t="shared" si="40"/>
        <v>0</v>
      </c>
      <c r="AU84">
        <f t="shared" si="41"/>
        <v>0.0005558447019990638</v>
      </c>
      <c r="AV84">
        <f t="shared" si="42"/>
        <v>2.127659574468085</v>
      </c>
      <c r="AW84">
        <f t="shared" si="43"/>
        <v>0.003</v>
      </c>
      <c r="AX84">
        <f t="shared" si="44"/>
        <v>210000</v>
      </c>
      <c r="AY84">
        <f t="shared" si="45"/>
        <v>0</v>
      </c>
      <c r="BA84">
        <f t="shared" si="46"/>
        <v>59.8</v>
      </c>
      <c r="BB84">
        <f t="shared" si="47"/>
        <v>0.00792223114626618</v>
      </c>
      <c r="BC84">
        <f t="shared" si="48"/>
        <v>2625.799156735649</v>
      </c>
      <c r="BD84">
        <f t="shared" si="49"/>
        <v>0.153153490402492</v>
      </c>
      <c r="BE84">
        <v>0</v>
      </c>
      <c r="BF84">
        <v>1</v>
      </c>
      <c r="BG84">
        <v>0</v>
      </c>
      <c r="BH84">
        <v>1</v>
      </c>
      <c r="BI84">
        <v>1</v>
      </c>
      <c r="BK84">
        <f t="shared" si="50"/>
        <v>-206.77549958179372</v>
      </c>
      <c r="BL84">
        <f t="shared" si="51"/>
        <v>8163.461590184696</v>
      </c>
      <c r="BM84">
        <f t="shared" si="53"/>
        <v>206.77549958179372</v>
      </c>
      <c r="BN84">
        <f t="shared" si="52"/>
        <v>1.055107315656854</v>
      </c>
      <c r="BO84">
        <f t="shared" si="54"/>
        <v>50.35767177023065</v>
      </c>
    </row>
    <row r="85" spans="43:67" ht="15">
      <c r="AQ85">
        <f t="shared" si="38"/>
        <v>1004.3978773040329</v>
      </c>
      <c r="AS85">
        <f t="shared" si="39"/>
        <v>0.4608486587194985</v>
      </c>
      <c r="AT85">
        <f t="shared" si="40"/>
        <v>0</v>
      </c>
      <c r="AU85">
        <f t="shared" si="41"/>
        <v>0.0005558447019990638</v>
      </c>
      <c r="AV85">
        <f t="shared" si="42"/>
        <v>2.127659574468085</v>
      </c>
      <c r="AW85">
        <f t="shared" si="43"/>
        <v>0.003</v>
      </c>
      <c r="AX85">
        <f t="shared" si="44"/>
        <v>210000</v>
      </c>
      <c r="AY85">
        <f t="shared" si="45"/>
        <v>0</v>
      </c>
      <c r="BA85">
        <f t="shared" si="46"/>
        <v>59.8</v>
      </c>
      <c r="BB85">
        <f t="shared" si="47"/>
        <v>0.00792223114626618</v>
      </c>
      <c r="BC85">
        <f t="shared" si="48"/>
        <v>2625.799156735649</v>
      </c>
      <c r="BD85">
        <f t="shared" si="49"/>
        <v>0.12621471822956684</v>
      </c>
      <c r="BE85">
        <v>0</v>
      </c>
      <c r="BF85">
        <v>1</v>
      </c>
      <c r="BG85">
        <v>0</v>
      </c>
      <c r="BH85">
        <v>1</v>
      </c>
      <c r="BI85">
        <v>1</v>
      </c>
      <c r="BK85">
        <f t="shared" si="50"/>
        <v>-206.08311025609567</v>
      </c>
      <c r="BL85">
        <f t="shared" si="51"/>
        <v>8070.52619314489</v>
      </c>
      <c r="BM85">
        <f t="shared" si="53"/>
        <v>206.08311025609567</v>
      </c>
      <c r="BN85">
        <f t="shared" si="52"/>
        <v>1.0426926186334113</v>
      </c>
      <c r="BO85">
        <f t="shared" si="54"/>
        <v>50.42079237180824</v>
      </c>
    </row>
    <row r="91" spans="40:67" ht="15">
      <c r="AN91" t="s">
        <v>82</v>
      </c>
      <c r="AO91" t="s">
        <v>83</v>
      </c>
      <c r="AP91" t="s">
        <v>84</v>
      </c>
      <c r="AQ91" t="s">
        <v>1</v>
      </c>
      <c r="AS91" t="s">
        <v>108</v>
      </c>
      <c r="AT91" t="s">
        <v>73</v>
      </c>
      <c r="AU91" t="s">
        <v>75</v>
      </c>
      <c r="AV91" t="s">
        <v>109</v>
      </c>
      <c r="AW91" t="s">
        <v>77</v>
      </c>
      <c r="AX91" t="s">
        <v>12</v>
      </c>
      <c r="AY91" t="s">
        <v>74</v>
      </c>
      <c r="BA91" t="s">
        <v>122</v>
      </c>
      <c r="BB91" t="s">
        <v>123</v>
      </c>
      <c r="BC91" t="s">
        <v>101</v>
      </c>
      <c r="BD91" t="s">
        <v>102</v>
      </c>
      <c r="BE91" t="s">
        <v>103</v>
      </c>
      <c r="BF91" t="s">
        <v>104</v>
      </c>
      <c r="BG91" t="s">
        <v>105</v>
      </c>
      <c r="BH91" t="s">
        <v>106</v>
      </c>
      <c r="BI91" t="s">
        <v>107</v>
      </c>
      <c r="BK91" t="s">
        <v>113</v>
      </c>
      <c r="BL91" t="s">
        <v>100</v>
      </c>
      <c r="BM91" t="s">
        <v>114</v>
      </c>
      <c r="BN91" t="s">
        <v>115</v>
      </c>
      <c r="BO91" t="s">
        <v>86</v>
      </c>
    </row>
    <row r="92" spans="40:67" ht="15">
      <c r="AN92">
        <f aca="true" t="shared" si="55" ref="AN92:AN101">AJ20</f>
        <v>1799.3514404296875</v>
      </c>
      <c r="AO92">
        <f aca="true" t="shared" si="56" ref="AO92:AO101">AN92*AJ$49*(1-AJ$50)/AJ$58</f>
        <v>524.4708604084333</v>
      </c>
      <c r="AP92">
        <f aca="true" t="shared" si="57" ref="AP92:AP101">(AO92+AJ$59-((AO92+AJ$59)^2-4*AJ$57*AJ$59*AO92)^0.5)/(2*AJ$57)</f>
        <v>298.8057554911171</v>
      </c>
      <c r="AQ92">
        <f aca="true" t="shared" si="58" ref="AQ92:AQ101">AI20</f>
        <v>12.772067970787</v>
      </c>
      <c r="AS92">
        <f aca="true" t="shared" si="59" ref="AS92:AS101">1/AM$37</f>
        <v>0.4608486587194985</v>
      </c>
      <c r="AT92">
        <f aca="true" t="shared" si="60" ref="AT92:AT101">AM$40</f>
        <v>0</v>
      </c>
      <c r="AU92">
        <f aca="true" t="shared" si="61" ref="AU92:AU101">AM$44</f>
        <v>0.0005558447019990638</v>
      </c>
      <c r="AV92">
        <f aca="true" t="shared" si="62" ref="AV92:AV101">AJ$38/0.047</f>
        <v>2.127659574468085</v>
      </c>
      <c r="AW92">
        <f aca="true" t="shared" si="63" ref="AW92:AW101">AJ$39</f>
        <v>0.003</v>
      </c>
      <c r="AX92">
        <f aca="true" t="shared" si="64" ref="AX92:AX101">AJ$40</f>
        <v>210000</v>
      </c>
      <c r="AY92">
        <f aca="true" t="shared" si="65" ref="AY92:AY101">AM$39</f>
        <v>0</v>
      </c>
      <c r="BA92">
        <f aca="true" t="shared" si="66" ref="BA92:BA101">(1-AJ$51)*AP92/3</f>
        <v>59.76115109822342</v>
      </c>
      <c r="BB92">
        <f aca="true" t="shared" si="67" ref="BB92:BB101">7/3*AM$44</f>
        <v>0.001296970971331149</v>
      </c>
      <c r="BC92">
        <v>0</v>
      </c>
      <c r="BD92">
        <v>0</v>
      </c>
      <c r="BE92">
        <f aca="true" t="shared" si="68" ref="BE92:BE101">AJ$51*AP92/AJ$52</f>
        <v>59.76115109822342</v>
      </c>
      <c r="BF92">
        <v>1</v>
      </c>
      <c r="BG92">
        <v>0</v>
      </c>
      <c r="BH92">
        <v>1</v>
      </c>
      <c r="BI92">
        <v>1</v>
      </c>
      <c r="BK92">
        <f aca="true" t="shared" si="69" ref="BK92:BK101">AV92*AY92*BB92*BI92-AV92*AU92*BA92*BI92-AW92*AQ92+AW92*AS92*AY92-AW92*AS92*BA92-AX92*AW92*BB92-AW92*BC92+AT92*BH92-AQ92*BD92*BH92+AS92*AY92*BD92*BH92-AS92*BA92*BD92*BH92+AY92*BF92*BH92-BA92*BF92*BH92-BE92*BH92+BG92*BH92</f>
        <v>-120.53100907515866</v>
      </c>
      <c r="BL92">
        <f aca="true" t="shared" si="70" ref="BL92:BL101">BN92*(-AW92*AQ92*AY92+AW92*AQ92*BA92-AX92*AW92*AY92*BB92-AW92*AY92*BC92-AX92*AW92*AU92*BA92+AT92*AY92*BH92-AT92*BA92*BH92-AQ92*AY92*BD92*BH92+AQ92*BA92*BD92*BH92-AY92*BG92*BH92+BA92*BE92*BH92-BA92*BG92*BH92)</f>
        <v>3547.865682760706</v>
      </c>
      <c r="BM92">
        <f>-BK92</f>
        <v>120.53100907515866</v>
      </c>
      <c r="BN92">
        <f>-AV92*BB92*BI92+AW92*AS92+AS92*BD92*BH92+BF92*BH92</f>
        <v>0.9986230332711986</v>
      </c>
      <c r="BO92">
        <f aca="true" t="shared" si="71" ref="BO92:BO101">(-((BK92^2-4*BL92)^0.5)+BM92)/(2*BN92)</f>
        <v>51.16724405828817</v>
      </c>
    </row>
    <row r="93" spans="40:67" ht="15">
      <c r="AN93">
        <f t="shared" si="55"/>
        <v>1798.7874755859375</v>
      </c>
      <c r="AO93">
        <f t="shared" si="56"/>
        <v>524.3064772200267</v>
      </c>
      <c r="AP93">
        <f t="shared" si="57"/>
        <v>298.7658454008454</v>
      </c>
      <c r="AQ93">
        <f t="shared" si="58"/>
        <v>20.56480886165628</v>
      </c>
      <c r="AS93">
        <f t="shared" si="59"/>
        <v>0.4608486587194985</v>
      </c>
      <c r="AT93">
        <f t="shared" si="60"/>
        <v>0</v>
      </c>
      <c r="AU93">
        <f t="shared" si="61"/>
        <v>0.0005558447019990638</v>
      </c>
      <c r="AV93">
        <f t="shared" si="62"/>
        <v>2.127659574468085</v>
      </c>
      <c r="AW93">
        <f t="shared" si="63"/>
        <v>0.003</v>
      </c>
      <c r="AX93">
        <f t="shared" si="64"/>
        <v>210000</v>
      </c>
      <c r="AY93">
        <f t="shared" si="65"/>
        <v>0</v>
      </c>
      <c r="BA93">
        <f t="shared" si="66"/>
        <v>59.75316908016908</v>
      </c>
      <c r="BB93">
        <f t="shared" si="67"/>
        <v>0.001296970971331149</v>
      </c>
      <c r="BC93">
        <v>0</v>
      </c>
      <c r="BD93">
        <v>0</v>
      </c>
      <c r="BE93">
        <f t="shared" si="68"/>
        <v>59.75316908016909</v>
      </c>
      <c r="BF93">
        <v>1</v>
      </c>
      <c r="BG93">
        <v>0</v>
      </c>
      <c r="BH93">
        <v>1</v>
      </c>
      <c r="BI93">
        <v>1</v>
      </c>
      <c r="BK93">
        <f t="shared" si="69"/>
        <v>-120.53840278629556</v>
      </c>
      <c r="BL93">
        <f t="shared" si="70"/>
        <v>3548.3105161457956</v>
      </c>
      <c r="BM93">
        <f aca="true" t="shared" si="72" ref="BM93:BM101">-BK93</f>
        <v>120.53840278629556</v>
      </c>
      <c r="BN93">
        <f aca="true" t="shared" si="73" ref="BN93:BN101">-AV93*BB93*BI93+AW93*AS93+AS93*BD93*BH93+BF93*BH93</f>
        <v>0.9986230332711986</v>
      </c>
      <c r="BO93">
        <f t="shared" si="71"/>
        <v>51.17090418059106</v>
      </c>
    </row>
    <row r="94" spans="40:67" ht="15">
      <c r="AN94">
        <f t="shared" si="55"/>
        <v>1799.7789306640625</v>
      </c>
      <c r="AO94">
        <f t="shared" si="56"/>
        <v>524.5954642884765</v>
      </c>
      <c r="AP94">
        <f t="shared" si="57"/>
        <v>298.8359949252274</v>
      </c>
      <c r="AQ94">
        <f t="shared" si="58"/>
        <v>43.88024248115497</v>
      </c>
      <c r="AS94">
        <f t="shared" si="59"/>
        <v>0.4608486587194985</v>
      </c>
      <c r="AT94">
        <f t="shared" si="60"/>
        <v>0</v>
      </c>
      <c r="AU94">
        <f t="shared" si="61"/>
        <v>0.0005558447019990638</v>
      </c>
      <c r="AV94">
        <f t="shared" si="62"/>
        <v>2.127659574468085</v>
      </c>
      <c r="AW94">
        <f t="shared" si="63"/>
        <v>0.003</v>
      </c>
      <c r="AX94">
        <f t="shared" si="64"/>
        <v>210000</v>
      </c>
      <c r="AY94">
        <f t="shared" si="65"/>
        <v>0</v>
      </c>
      <c r="BA94">
        <f t="shared" si="66"/>
        <v>59.767198985045475</v>
      </c>
      <c r="BB94">
        <f t="shared" si="67"/>
        <v>0.001296970971331149</v>
      </c>
      <c r="BC94">
        <v>0</v>
      </c>
      <c r="BD94">
        <v>0</v>
      </c>
      <c r="BE94">
        <f t="shared" si="68"/>
        <v>59.76719898504548</v>
      </c>
      <c r="BF94">
        <v>1</v>
      </c>
      <c r="BG94">
        <v>0</v>
      </c>
      <c r="BH94">
        <v>1</v>
      </c>
      <c r="BI94">
        <v>1</v>
      </c>
      <c r="BK94">
        <f t="shared" si="69"/>
        <v>-120.63644488633855</v>
      </c>
      <c r="BL94">
        <f t="shared" si="70"/>
        <v>3554.1557627585357</v>
      </c>
      <c r="BM94">
        <f t="shared" si="72"/>
        <v>120.63644488633855</v>
      </c>
      <c r="BN94">
        <f t="shared" si="73"/>
        <v>0.9986230332711986</v>
      </c>
      <c r="BO94">
        <f t="shared" si="71"/>
        <v>51.21638526689327</v>
      </c>
    </row>
    <row r="95" spans="40:67" ht="15">
      <c r="AN95">
        <f t="shared" si="55"/>
        <v>1800.8834228515625</v>
      </c>
      <c r="AO95">
        <f t="shared" si="56"/>
        <v>524.9173991561609</v>
      </c>
      <c r="AP95">
        <f t="shared" si="57"/>
        <v>298.9140726338958</v>
      </c>
      <c r="AQ95">
        <f t="shared" si="58"/>
        <v>59.405297275661574</v>
      </c>
      <c r="AS95">
        <f t="shared" si="59"/>
        <v>0.4608486587194985</v>
      </c>
      <c r="AT95">
        <f t="shared" si="60"/>
        <v>0</v>
      </c>
      <c r="AU95">
        <f t="shared" si="61"/>
        <v>0.0005558447019990638</v>
      </c>
      <c r="AV95">
        <f t="shared" si="62"/>
        <v>2.127659574468085</v>
      </c>
      <c r="AW95">
        <f t="shared" si="63"/>
        <v>0.003</v>
      </c>
      <c r="AX95">
        <f t="shared" si="64"/>
        <v>210000</v>
      </c>
      <c r="AY95">
        <f t="shared" si="65"/>
        <v>0</v>
      </c>
      <c r="BA95">
        <f t="shared" si="66"/>
        <v>59.782814526779156</v>
      </c>
      <c r="BB95">
        <f t="shared" si="67"/>
        <v>0.001296970971331149</v>
      </c>
      <c r="BC95">
        <v>0</v>
      </c>
      <c r="BD95">
        <v>0</v>
      </c>
      <c r="BE95">
        <f t="shared" si="68"/>
        <v>59.78281452677916</v>
      </c>
      <c r="BF95">
        <v>1</v>
      </c>
      <c r="BG95">
        <v>0</v>
      </c>
      <c r="BH95">
        <v>1</v>
      </c>
      <c r="BI95">
        <v>1</v>
      </c>
      <c r="BK95">
        <f t="shared" si="69"/>
        <v>-120.71429119108774</v>
      </c>
      <c r="BL95">
        <f t="shared" si="70"/>
        <v>3558.797182861293</v>
      </c>
      <c r="BM95">
        <f t="shared" si="72"/>
        <v>120.71429119108774</v>
      </c>
      <c r="BN95">
        <f t="shared" si="73"/>
        <v>0.9986230332711986</v>
      </c>
      <c r="BO95">
        <f t="shared" si="71"/>
        <v>51.252325076240226</v>
      </c>
    </row>
    <row r="96" spans="40:67" ht="15">
      <c r="AN96">
        <f t="shared" si="55"/>
        <v>1799.1099853515625</v>
      </c>
      <c r="AO96">
        <f t="shared" si="56"/>
        <v>524.4004816320981</v>
      </c>
      <c r="AP96">
        <f t="shared" si="57"/>
        <v>298.7886707887216</v>
      </c>
      <c r="AQ96">
        <f t="shared" si="58"/>
        <v>158.31301222610767</v>
      </c>
      <c r="AS96">
        <f t="shared" si="59"/>
        <v>0.4608486587194985</v>
      </c>
      <c r="AT96">
        <f t="shared" si="60"/>
        <v>0</v>
      </c>
      <c r="AU96">
        <f t="shared" si="61"/>
        <v>0.0005558447019990638</v>
      </c>
      <c r="AV96">
        <f t="shared" si="62"/>
        <v>2.127659574468085</v>
      </c>
      <c r="AW96">
        <f t="shared" si="63"/>
        <v>0.003</v>
      </c>
      <c r="AX96">
        <f t="shared" si="64"/>
        <v>210000</v>
      </c>
      <c r="AY96">
        <f t="shared" si="65"/>
        <v>0</v>
      </c>
      <c r="BA96">
        <f t="shared" si="66"/>
        <v>59.75773415774432</v>
      </c>
      <c r="BB96">
        <f t="shared" si="67"/>
        <v>0.001296970971331149</v>
      </c>
      <c r="BC96">
        <v>0</v>
      </c>
      <c r="BD96">
        <v>0</v>
      </c>
      <c r="BE96">
        <f t="shared" si="68"/>
        <v>59.75773415774432</v>
      </c>
      <c r="BF96">
        <v>1</v>
      </c>
      <c r="BG96">
        <v>0</v>
      </c>
      <c r="BH96">
        <v>1</v>
      </c>
      <c r="BI96">
        <v>1</v>
      </c>
      <c r="BK96">
        <f t="shared" si="69"/>
        <v>-120.96078926185027</v>
      </c>
      <c r="BL96">
        <f t="shared" si="70"/>
        <v>3573.5145842563834</v>
      </c>
      <c r="BM96">
        <f t="shared" si="72"/>
        <v>120.96078926185027</v>
      </c>
      <c r="BN96">
        <f t="shared" si="73"/>
        <v>0.9986230332711986</v>
      </c>
      <c r="BO96">
        <f t="shared" si="71"/>
        <v>51.366160845335216</v>
      </c>
    </row>
    <row r="97" spans="40:67" ht="15">
      <c r="AN97">
        <f t="shared" si="55"/>
        <v>1800.51513671875</v>
      </c>
      <c r="AO97">
        <f t="shared" si="56"/>
        <v>524.8100519528227</v>
      </c>
      <c r="AP97">
        <f t="shared" si="57"/>
        <v>298.88804625516855</v>
      </c>
      <c r="AQ97">
        <f t="shared" si="58"/>
        <v>370.6865046392751</v>
      </c>
      <c r="AS97">
        <f t="shared" si="59"/>
        <v>0.4608486587194985</v>
      </c>
      <c r="AT97">
        <f t="shared" si="60"/>
        <v>0</v>
      </c>
      <c r="AU97">
        <f t="shared" si="61"/>
        <v>0.0005558447019990638</v>
      </c>
      <c r="AV97">
        <f t="shared" si="62"/>
        <v>2.127659574468085</v>
      </c>
      <c r="AW97">
        <f t="shared" si="63"/>
        <v>0.003</v>
      </c>
      <c r="AX97">
        <f t="shared" si="64"/>
        <v>210000</v>
      </c>
      <c r="AY97">
        <f t="shared" si="65"/>
        <v>0</v>
      </c>
      <c r="BA97">
        <f t="shared" si="66"/>
        <v>59.77760925103371</v>
      </c>
      <c r="BB97">
        <f t="shared" si="67"/>
        <v>0.001296970971331149</v>
      </c>
      <c r="BC97">
        <v>0</v>
      </c>
      <c r="BD97">
        <v>0</v>
      </c>
      <c r="BE97">
        <f t="shared" si="68"/>
        <v>59.77760925103371</v>
      </c>
      <c r="BF97">
        <v>1</v>
      </c>
      <c r="BG97">
        <v>0</v>
      </c>
      <c r="BH97">
        <v>1</v>
      </c>
      <c r="BI97">
        <v>1</v>
      </c>
      <c r="BK97">
        <f t="shared" si="69"/>
        <v>-121.63771090914412</v>
      </c>
      <c r="BL97">
        <f t="shared" si="70"/>
        <v>3613.922661547912</v>
      </c>
      <c r="BM97">
        <f t="shared" si="72"/>
        <v>121.63771090914412</v>
      </c>
      <c r="BN97">
        <f t="shared" si="73"/>
        <v>0.9986230332711986</v>
      </c>
      <c r="BO97">
        <f t="shared" si="71"/>
        <v>51.6698883537641</v>
      </c>
    </row>
    <row r="98" spans="40:67" ht="15">
      <c r="AN98">
        <f t="shared" si="55"/>
        <v>1799.7000732421875</v>
      </c>
      <c r="AO98">
        <f t="shared" si="56"/>
        <v>524.5724791067208</v>
      </c>
      <c r="AP98">
        <f t="shared" si="57"/>
        <v>298.8304176045963</v>
      </c>
      <c r="AQ98">
        <f t="shared" si="58"/>
        <v>495.80307724067274</v>
      </c>
      <c r="AS98">
        <f t="shared" si="59"/>
        <v>0.4608486587194985</v>
      </c>
      <c r="AT98">
        <f t="shared" si="60"/>
        <v>0</v>
      </c>
      <c r="AU98">
        <f t="shared" si="61"/>
        <v>0.0005558447019990638</v>
      </c>
      <c r="AV98">
        <f t="shared" si="62"/>
        <v>2.127659574468085</v>
      </c>
      <c r="AW98">
        <f t="shared" si="63"/>
        <v>0.003</v>
      </c>
      <c r="AX98">
        <f t="shared" si="64"/>
        <v>210000</v>
      </c>
      <c r="AY98">
        <f t="shared" si="65"/>
        <v>0</v>
      </c>
      <c r="BA98">
        <f t="shared" si="66"/>
        <v>59.76608352091926</v>
      </c>
      <c r="BB98">
        <f t="shared" si="67"/>
        <v>0.001296970971331149</v>
      </c>
      <c r="BC98">
        <v>0</v>
      </c>
      <c r="BD98">
        <v>0</v>
      </c>
      <c r="BE98">
        <f t="shared" si="68"/>
        <v>59.76608352091926</v>
      </c>
      <c r="BF98">
        <v>1</v>
      </c>
      <c r="BG98">
        <v>0</v>
      </c>
      <c r="BH98">
        <v>1</v>
      </c>
      <c r="BI98">
        <v>1</v>
      </c>
      <c r="BK98">
        <f t="shared" si="69"/>
        <v>-121.98997960098248</v>
      </c>
      <c r="BL98">
        <f t="shared" si="70"/>
        <v>3634.9402541683944</v>
      </c>
      <c r="BM98">
        <f t="shared" si="72"/>
        <v>121.98997960098248</v>
      </c>
      <c r="BN98">
        <f t="shared" si="73"/>
        <v>0.9986230332711986</v>
      </c>
      <c r="BO98">
        <f t="shared" si="71"/>
        <v>51.82251045081699</v>
      </c>
    </row>
    <row r="99" spans="40:67" ht="15">
      <c r="AN99">
        <f t="shared" si="55"/>
        <v>1799.07470703125</v>
      </c>
      <c r="AO99">
        <f t="shared" si="56"/>
        <v>524.3901987876286</v>
      </c>
      <c r="AP99">
        <f t="shared" si="57"/>
        <v>298.78617429710124</v>
      </c>
      <c r="AQ99">
        <f t="shared" si="58"/>
        <v>653.2925502126539</v>
      </c>
      <c r="AS99">
        <f t="shared" si="59"/>
        <v>0.4608486587194985</v>
      </c>
      <c r="AT99">
        <f t="shared" si="60"/>
        <v>0</v>
      </c>
      <c r="AU99">
        <f t="shared" si="61"/>
        <v>0.0005558447019990638</v>
      </c>
      <c r="AV99">
        <f t="shared" si="62"/>
        <v>2.127659574468085</v>
      </c>
      <c r="AW99">
        <f t="shared" si="63"/>
        <v>0.003</v>
      </c>
      <c r="AX99">
        <f t="shared" si="64"/>
        <v>210000</v>
      </c>
      <c r="AY99">
        <f t="shared" si="65"/>
        <v>0</v>
      </c>
      <c r="BA99">
        <f t="shared" si="66"/>
        <v>59.757234859420244</v>
      </c>
      <c r="BB99">
        <f t="shared" si="67"/>
        <v>0.001296970971331149</v>
      </c>
      <c r="BC99">
        <v>0</v>
      </c>
      <c r="BD99">
        <v>0</v>
      </c>
      <c r="BE99">
        <f t="shared" si="68"/>
        <v>59.75723485942025</v>
      </c>
      <c r="BF99">
        <v>1</v>
      </c>
      <c r="BG99">
        <v>0</v>
      </c>
      <c r="BH99">
        <v>1</v>
      </c>
      <c r="BI99">
        <v>1</v>
      </c>
      <c r="BK99">
        <f t="shared" si="69"/>
        <v>-122.44472799836456</v>
      </c>
      <c r="BL99">
        <f t="shared" si="70"/>
        <v>3662.0685698229536</v>
      </c>
      <c r="BM99">
        <f t="shared" si="72"/>
        <v>122.44472799836456</v>
      </c>
      <c r="BN99">
        <f t="shared" si="73"/>
        <v>0.9986230332711986</v>
      </c>
      <c r="BO99">
        <f t="shared" si="71"/>
        <v>52.01447739016319</v>
      </c>
    </row>
    <row r="100" spans="40:67" ht="15">
      <c r="AN100">
        <f t="shared" si="55"/>
        <v>1800.6224365234375</v>
      </c>
      <c r="AO100">
        <f t="shared" si="56"/>
        <v>524.841327455552</v>
      </c>
      <c r="AP100">
        <f t="shared" si="57"/>
        <v>298.895629857034</v>
      </c>
      <c r="AQ100">
        <f t="shared" si="58"/>
        <v>830.8042222784762</v>
      </c>
      <c r="AS100">
        <f t="shared" si="59"/>
        <v>0.4608486587194985</v>
      </c>
      <c r="AT100">
        <f t="shared" si="60"/>
        <v>0</v>
      </c>
      <c r="AU100">
        <f t="shared" si="61"/>
        <v>0.0005558447019990638</v>
      </c>
      <c r="AV100">
        <f t="shared" si="62"/>
        <v>2.127659574468085</v>
      </c>
      <c r="AW100">
        <f t="shared" si="63"/>
        <v>0.003</v>
      </c>
      <c r="AX100">
        <f t="shared" si="64"/>
        <v>210000</v>
      </c>
      <c r="AY100">
        <f t="shared" si="65"/>
        <v>0</v>
      </c>
      <c r="BA100">
        <f t="shared" si="66"/>
        <v>59.779125971406806</v>
      </c>
      <c r="BB100">
        <f t="shared" si="67"/>
        <v>0.001296970971331149</v>
      </c>
      <c r="BC100">
        <v>0</v>
      </c>
      <c r="BD100">
        <v>0</v>
      </c>
      <c r="BE100">
        <f t="shared" si="68"/>
        <v>59.779125971406806</v>
      </c>
      <c r="BF100">
        <v>1</v>
      </c>
      <c r="BG100">
        <v>0</v>
      </c>
      <c r="BH100">
        <v>1</v>
      </c>
      <c r="BI100">
        <v>1</v>
      </c>
      <c r="BK100">
        <f t="shared" si="69"/>
        <v>-123.02110139349034</v>
      </c>
      <c r="BL100">
        <f t="shared" si="70"/>
        <v>3696.507582763337</v>
      </c>
      <c r="BM100">
        <f t="shared" si="72"/>
        <v>123.02110139349034</v>
      </c>
      <c r="BN100">
        <f t="shared" si="73"/>
        <v>0.9986230332711986</v>
      </c>
      <c r="BO100">
        <f t="shared" si="71"/>
        <v>52.25296409582434</v>
      </c>
    </row>
    <row r="101" spans="40:67" ht="15">
      <c r="AN101">
        <f t="shared" si="55"/>
        <v>1800.8707275390625</v>
      </c>
      <c r="AO101">
        <f t="shared" si="56"/>
        <v>524.9136987553829</v>
      </c>
      <c r="AP101">
        <f t="shared" si="57"/>
        <v>298.9131756057304</v>
      </c>
      <c r="AQ101">
        <f t="shared" si="58"/>
        <v>1004.3978773040329</v>
      </c>
      <c r="AS101">
        <f t="shared" si="59"/>
        <v>0.4608486587194985</v>
      </c>
      <c r="AT101">
        <f t="shared" si="60"/>
        <v>0</v>
      </c>
      <c r="AU101">
        <f t="shared" si="61"/>
        <v>0.0005558447019990638</v>
      </c>
      <c r="AV101">
        <f t="shared" si="62"/>
        <v>2.127659574468085</v>
      </c>
      <c r="AW101">
        <f t="shared" si="63"/>
        <v>0.003</v>
      </c>
      <c r="AX101">
        <f t="shared" si="64"/>
        <v>210000</v>
      </c>
      <c r="AY101">
        <f t="shared" si="65"/>
        <v>0</v>
      </c>
      <c r="BA101">
        <f t="shared" si="66"/>
        <v>59.78263512114608</v>
      </c>
      <c r="BB101">
        <f t="shared" si="67"/>
        <v>0.001296970971331149</v>
      </c>
      <c r="BC101">
        <v>0</v>
      </c>
      <c r="BD101">
        <v>0</v>
      </c>
      <c r="BE101">
        <f t="shared" si="68"/>
        <v>59.78263512114608</v>
      </c>
      <c r="BF101">
        <v>1</v>
      </c>
      <c r="BG101">
        <v>0</v>
      </c>
      <c r="BH101">
        <v>1</v>
      </c>
      <c r="BI101">
        <v>1</v>
      </c>
      <c r="BK101">
        <f t="shared" si="69"/>
        <v>-123.54890965969639</v>
      </c>
      <c r="BL101">
        <f t="shared" si="70"/>
        <v>3728.024860623604</v>
      </c>
      <c r="BM101">
        <f t="shared" si="72"/>
        <v>123.54890965969639</v>
      </c>
      <c r="BN101">
        <f t="shared" si="73"/>
        <v>0.9986230332711986</v>
      </c>
      <c r="BO101">
        <f t="shared" si="71"/>
        <v>52.462750083081126</v>
      </c>
    </row>
    <row r="111" spans="1:17" ht="16.5" thickBot="1">
      <c r="A111" s="43" t="s">
        <v>14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32"/>
      <c r="O111" s="32"/>
      <c r="P111" s="32"/>
      <c r="Q111" s="32"/>
    </row>
    <row r="112" spans="1:17" ht="15.75">
      <c r="A112" s="10" t="s">
        <v>15</v>
      </c>
      <c r="B112" s="11"/>
      <c r="C112" s="12">
        <v>1210</v>
      </c>
      <c r="D112" s="11" t="s">
        <v>16</v>
      </c>
      <c r="E112" s="11"/>
      <c r="F112" s="11"/>
      <c r="G112" s="11"/>
      <c r="H112" s="11"/>
      <c r="I112" s="11"/>
      <c r="J112" s="11"/>
      <c r="K112" s="13"/>
      <c r="L112" s="11"/>
      <c r="M112" s="11" t="s">
        <v>134</v>
      </c>
      <c r="N112" s="32"/>
      <c r="O112" s="32"/>
      <c r="P112" s="32"/>
      <c r="Q112" s="32"/>
    </row>
    <row r="113" spans="1:17" ht="15.75">
      <c r="A113" s="14" t="s">
        <v>17</v>
      </c>
      <c r="B113" s="15"/>
      <c r="C113" s="16">
        <v>64200</v>
      </c>
      <c r="D113" s="15" t="s">
        <v>18</v>
      </c>
      <c r="E113" s="15"/>
      <c r="F113" s="15"/>
      <c r="G113" s="15"/>
      <c r="H113" s="15"/>
      <c r="I113" s="15"/>
      <c r="J113" s="15"/>
      <c r="K113" s="15"/>
      <c r="L113" s="17"/>
      <c r="M113" s="17"/>
      <c r="N113" s="32"/>
      <c r="O113" s="32"/>
      <c r="P113" s="32"/>
      <c r="Q113" s="32"/>
    </row>
    <row r="114" spans="1:17" ht="15.75">
      <c r="A114" s="14" t="s">
        <v>19</v>
      </c>
      <c r="B114" s="15"/>
      <c r="C114" s="16">
        <v>292000</v>
      </c>
      <c r="D114" s="15" t="s">
        <v>20</v>
      </c>
      <c r="E114" s="15"/>
      <c r="F114" s="15"/>
      <c r="G114" s="15"/>
      <c r="H114" s="15"/>
      <c r="I114" s="15"/>
      <c r="J114" s="18"/>
      <c r="K114" s="19"/>
      <c r="L114" s="17"/>
      <c r="M114" s="17"/>
      <c r="N114" s="32"/>
      <c r="O114" s="32"/>
      <c r="P114" s="32"/>
      <c r="Q114" s="32"/>
    </row>
    <row r="115" spans="1:17" ht="15.75">
      <c r="A115" s="14" t="s">
        <v>21</v>
      </c>
      <c r="B115" s="15"/>
      <c r="C115" s="16">
        <v>10500</v>
      </c>
      <c r="D115" s="15" t="s">
        <v>22</v>
      </c>
      <c r="E115" s="15"/>
      <c r="F115" s="15"/>
      <c r="G115" s="15"/>
      <c r="H115" s="15"/>
      <c r="I115" s="15"/>
      <c r="J115" s="18"/>
      <c r="K115" s="15"/>
      <c r="L115" s="17"/>
      <c r="M115" s="17"/>
      <c r="N115" s="32"/>
      <c r="O115" s="32"/>
      <c r="P115" s="32"/>
      <c r="Q115" s="32"/>
    </row>
    <row r="116" spans="1:17" ht="15.75">
      <c r="A116" s="14" t="s">
        <v>23</v>
      </c>
      <c r="B116" s="15"/>
      <c r="C116" s="15" t="s">
        <v>24</v>
      </c>
      <c r="D116" s="15" t="s">
        <v>25</v>
      </c>
      <c r="E116" s="15"/>
      <c r="F116" s="15"/>
      <c r="G116" s="15"/>
      <c r="H116" s="15"/>
      <c r="I116" s="15"/>
      <c r="J116" s="19"/>
      <c r="K116" s="19"/>
      <c r="L116" s="17"/>
      <c r="M116" s="17"/>
      <c r="N116" s="32"/>
      <c r="O116" s="32"/>
      <c r="P116" s="32"/>
      <c r="Q116" s="32"/>
    </row>
    <row r="117" spans="1:17" ht="15.75">
      <c r="A117" s="14" t="s">
        <v>26</v>
      </c>
      <c r="B117" s="15"/>
      <c r="C117" s="16">
        <v>78000</v>
      </c>
      <c r="D117" s="15" t="s">
        <v>27</v>
      </c>
      <c r="E117" s="15"/>
      <c r="F117" s="15"/>
      <c r="G117" s="15"/>
      <c r="H117" s="15"/>
      <c r="I117" s="15"/>
      <c r="J117" s="18"/>
      <c r="K117" s="15"/>
      <c r="L117" s="17"/>
      <c r="M117" s="17"/>
      <c r="N117" s="32"/>
      <c r="O117" s="32"/>
      <c r="P117" s="32"/>
      <c r="Q117" s="32"/>
    </row>
    <row r="118" spans="1:17" ht="15.75">
      <c r="A118" s="14" t="s">
        <v>28</v>
      </c>
      <c r="B118" s="15"/>
      <c r="C118" s="20">
        <v>5.513289064545659</v>
      </c>
      <c r="D118" s="15" t="s">
        <v>29</v>
      </c>
      <c r="E118" s="15"/>
      <c r="F118" s="15"/>
      <c r="G118" s="15"/>
      <c r="H118" s="15"/>
      <c r="I118" s="15"/>
      <c r="J118" s="18"/>
      <c r="K118" s="19"/>
      <c r="L118" s="17"/>
      <c r="M118" s="17"/>
      <c r="N118" s="32"/>
      <c r="O118" s="32"/>
      <c r="P118" s="32"/>
      <c r="Q118" s="32"/>
    </row>
    <row r="119" spans="1:13" ht="15.75">
      <c r="A119" s="14" t="s">
        <v>30</v>
      </c>
      <c r="B119" s="15"/>
      <c r="C119" s="16">
        <v>21265.402955290618</v>
      </c>
      <c r="D119" s="15" t="s">
        <v>31</v>
      </c>
      <c r="E119" s="15"/>
      <c r="F119" s="15"/>
      <c r="G119" s="15"/>
      <c r="H119" s="15"/>
      <c r="I119" s="15"/>
      <c r="J119" s="18"/>
      <c r="K119" s="15"/>
      <c r="L119" s="17"/>
      <c r="M119" s="17"/>
    </row>
    <row r="120" spans="1:13" ht="15.75">
      <c r="A120" s="14" t="s">
        <v>32</v>
      </c>
      <c r="B120" s="15"/>
      <c r="C120" s="16">
        <v>75</v>
      </c>
      <c r="D120" s="15" t="s">
        <v>33</v>
      </c>
      <c r="E120" s="15"/>
      <c r="F120" s="15"/>
      <c r="G120" s="15"/>
      <c r="H120" s="15"/>
      <c r="I120" s="15"/>
      <c r="J120" s="18"/>
      <c r="K120" s="19"/>
      <c r="L120" s="17"/>
      <c r="M120" s="17"/>
    </row>
    <row r="121" spans="1:13" ht="15.75">
      <c r="A121" s="14" t="s">
        <v>34</v>
      </c>
      <c r="B121" s="15"/>
      <c r="C121" s="16">
        <v>36300</v>
      </c>
      <c r="D121" s="15" t="s">
        <v>35</v>
      </c>
      <c r="E121" s="15"/>
      <c r="F121" s="15"/>
      <c r="G121" s="15"/>
      <c r="H121" s="15"/>
      <c r="I121" s="15"/>
      <c r="J121" s="18"/>
      <c r="K121" s="15"/>
      <c r="L121" s="17"/>
      <c r="M121" s="17"/>
    </row>
    <row r="122" spans="1:13" ht="15.75">
      <c r="A122" s="14" t="s">
        <v>36</v>
      </c>
      <c r="B122" s="15"/>
      <c r="C122" s="15" t="s">
        <v>24</v>
      </c>
      <c r="D122" s="15" t="s">
        <v>37</v>
      </c>
      <c r="E122" s="15"/>
      <c r="F122" s="15"/>
      <c r="G122" s="15"/>
      <c r="H122" s="15"/>
      <c r="I122" s="15"/>
      <c r="J122" s="19"/>
      <c r="K122" s="19"/>
      <c r="L122" s="17"/>
      <c r="M122" s="17"/>
    </row>
    <row r="123" spans="1:13" ht="15.75">
      <c r="A123" s="14" t="s">
        <v>38</v>
      </c>
      <c r="B123" s="18"/>
      <c r="C123" s="16">
        <v>57043.26775905119</v>
      </c>
      <c r="D123" s="15" t="s">
        <v>39</v>
      </c>
      <c r="E123" s="15"/>
      <c r="F123" s="15"/>
      <c r="G123" s="15"/>
      <c r="H123" s="15"/>
      <c r="I123" s="15"/>
      <c r="J123" s="18"/>
      <c r="K123" s="15"/>
      <c r="L123" s="17"/>
      <c r="M123" s="17"/>
    </row>
    <row r="124" spans="1:13" ht="15.75">
      <c r="A124" s="14" t="s">
        <v>40</v>
      </c>
      <c r="B124" s="15"/>
      <c r="C124" s="15" t="s">
        <v>24</v>
      </c>
      <c r="D124" s="15" t="s">
        <v>41</v>
      </c>
      <c r="E124" s="15"/>
      <c r="F124" s="15"/>
      <c r="G124" s="15"/>
      <c r="H124" s="15"/>
      <c r="I124" s="15"/>
      <c r="J124" s="19"/>
      <c r="K124" s="19"/>
      <c r="L124" s="17"/>
      <c r="M124" s="17"/>
    </row>
    <row r="125" spans="1:13" ht="15.75">
      <c r="A125" s="14" t="s">
        <v>42</v>
      </c>
      <c r="B125" s="15"/>
      <c r="C125" s="16">
        <v>46390</v>
      </c>
      <c r="D125" s="15" t="s">
        <v>43</v>
      </c>
      <c r="E125" s="15"/>
      <c r="F125" s="15"/>
      <c r="G125" s="15"/>
      <c r="H125" s="15"/>
      <c r="I125" s="15"/>
      <c r="J125" s="18"/>
      <c r="K125" s="15"/>
      <c r="L125" s="17"/>
      <c r="M125" s="17"/>
    </row>
    <row r="126" spans="1:13" ht="15.75">
      <c r="A126" s="14" t="s">
        <v>44</v>
      </c>
      <c r="B126" s="15"/>
      <c r="C126" s="15"/>
      <c r="D126" s="15" t="s">
        <v>45</v>
      </c>
      <c r="E126" s="15"/>
      <c r="F126" s="15"/>
      <c r="G126" s="15"/>
      <c r="H126" s="15"/>
      <c r="I126" s="15"/>
      <c r="J126" s="19"/>
      <c r="K126" s="19"/>
      <c r="L126" s="17"/>
      <c r="M126" s="17"/>
    </row>
    <row r="127" spans="1:13" ht="15.75">
      <c r="A127" s="14" t="s">
        <v>46</v>
      </c>
      <c r="B127" s="15"/>
      <c r="C127" s="21">
        <v>0</v>
      </c>
      <c r="D127" s="15" t="s">
        <v>47</v>
      </c>
      <c r="E127" s="15"/>
      <c r="F127" s="15"/>
      <c r="G127" s="15"/>
      <c r="H127" s="15"/>
      <c r="I127" s="15"/>
      <c r="J127" s="15"/>
      <c r="K127" s="15"/>
      <c r="L127" s="17"/>
      <c r="M127" s="17"/>
    </row>
    <row r="128" spans="1:13" ht="15.75">
      <c r="A128" s="14" t="s">
        <v>48</v>
      </c>
      <c r="B128" s="18"/>
      <c r="C128" s="21">
        <v>37.8649150880407</v>
      </c>
      <c r="D128" s="15" t="s">
        <v>49</v>
      </c>
      <c r="E128" s="15"/>
      <c r="F128" s="15"/>
      <c r="G128" s="15"/>
      <c r="H128" s="15"/>
      <c r="I128" s="15"/>
      <c r="J128" s="15"/>
      <c r="K128" s="15"/>
      <c r="L128" s="17"/>
      <c r="M128" s="17"/>
    </row>
    <row r="129" spans="1:13" ht="15.75">
      <c r="A129" s="14" t="s">
        <v>50</v>
      </c>
      <c r="B129" s="15"/>
      <c r="C129" s="22">
        <v>55</v>
      </c>
      <c r="D129" s="15" t="s">
        <v>51</v>
      </c>
      <c r="E129" s="15"/>
      <c r="F129" s="15"/>
      <c r="G129" s="15"/>
      <c r="H129" s="15"/>
      <c r="I129" s="15"/>
      <c r="J129" s="15"/>
      <c r="K129" s="15"/>
      <c r="L129" s="17"/>
      <c r="M129" s="17"/>
    </row>
    <row r="130" spans="1:13" ht="15.75">
      <c r="A130" s="14" t="s">
        <v>52</v>
      </c>
      <c r="B130" s="15"/>
      <c r="C130" s="20">
        <v>0.7112295398020634</v>
      </c>
      <c r="D130" s="15" t="s">
        <v>53</v>
      </c>
      <c r="E130" s="15"/>
      <c r="F130" s="15"/>
      <c r="G130" s="15"/>
      <c r="H130" s="15"/>
      <c r="I130" s="15"/>
      <c r="J130" s="15"/>
      <c r="K130" s="15"/>
      <c r="L130" s="17"/>
      <c r="M130" s="17"/>
    </row>
    <row r="131" spans="1:13" ht="15.75">
      <c r="A131" s="14" t="s">
        <v>54</v>
      </c>
      <c r="B131" s="15"/>
      <c r="C131" s="23">
        <v>1</v>
      </c>
      <c r="D131" s="18" t="s">
        <v>55</v>
      </c>
      <c r="E131" s="18"/>
      <c r="F131" s="15"/>
      <c r="G131" s="18"/>
      <c r="H131" s="18"/>
      <c r="I131" s="15"/>
      <c r="J131" s="24">
        <f>LN(2)/LN((C129-C127)/(C128-C127))</f>
        <v>1.856769108852743</v>
      </c>
      <c r="K131" s="15"/>
      <c r="L131" s="17"/>
      <c r="M131" s="17"/>
    </row>
    <row r="132" spans="1:13" ht="15.75">
      <c r="A132" s="14" t="s">
        <v>56</v>
      </c>
      <c r="B132" s="15"/>
      <c r="C132" s="15" t="s">
        <v>24</v>
      </c>
      <c r="D132" s="15" t="s">
        <v>57</v>
      </c>
      <c r="E132" s="15"/>
      <c r="F132" s="15"/>
      <c r="G132" s="15"/>
      <c r="H132" s="15"/>
      <c r="I132" s="15"/>
      <c r="J132" s="19"/>
      <c r="K132" s="19"/>
      <c r="L132" s="17"/>
      <c r="M132" s="17"/>
    </row>
    <row r="133" spans="1:13" ht="15.75">
      <c r="A133" s="14" t="s">
        <v>58</v>
      </c>
      <c r="B133" s="18"/>
      <c r="C133" s="21">
        <v>0</v>
      </c>
      <c r="D133" s="15" t="s">
        <v>59</v>
      </c>
      <c r="E133" s="15"/>
      <c r="F133" s="15"/>
      <c r="G133" s="25"/>
      <c r="H133" s="15"/>
      <c r="I133" s="15"/>
      <c r="J133" s="15"/>
      <c r="K133" s="15"/>
      <c r="L133" s="17"/>
      <c r="M133" s="17"/>
    </row>
    <row r="134" spans="1:13" ht="15.75">
      <c r="A134" s="14" t="s">
        <v>60</v>
      </c>
      <c r="B134" s="15"/>
      <c r="C134" s="21">
        <v>42</v>
      </c>
      <c r="D134" s="15" t="s">
        <v>61</v>
      </c>
      <c r="E134" s="15"/>
      <c r="F134" s="15"/>
      <c r="G134" s="15"/>
      <c r="H134" s="15"/>
      <c r="I134" s="15"/>
      <c r="J134" s="15"/>
      <c r="K134" s="15"/>
      <c r="L134" s="17"/>
      <c r="M134" s="17"/>
    </row>
    <row r="135" spans="1:13" ht="15.75">
      <c r="A135" s="14" t="s">
        <v>62</v>
      </c>
      <c r="B135" s="18"/>
      <c r="C135" s="21">
        <v>55</v>
      </c>
      <c r="D135" s="15" t="s">
        <v>63</v>
      </c>
      <c r="E135" s="15"/>
      <c r="F135" s="15"/>
      <c r="G135" s="15"/>
      <c r="H135" s="15"/>
      <c r="I135" s="15"/>
      <c r="J135" s="15"/>
      <c r="K135" s="15"/>
      <c r="L135" s="17"/>
      <c r="M135" s="17"/>
    </row>
    <row r="136" spans="1:13" ht="15.75">
      <c r="A136" s="14" t="s">
        <v>64</v>
      </c>
      <c r="B136" s="15"/>
      <c r="C136" s="20">
        <v>0.462820450976839</v>
      </c>
      <c r="D136" s="15" t="s">
        <v>65</v>
      </c>
      <c r="E136" s="15"/>
      <c r="F136" s="15"/>
      <c r="G136" s="15"/>
      <c r="H136" s="15"/>
      <c r="I136" s="15"/>
      <c r="J136" s="15"/>
      <c r="K136" s="15"/>
      <c r="L136" s="17"/>
      <c r="M136" s="17"/>
    </row>
    <row r="137" spans="1:13" ht="16.5" thickBot="1">
      <c r="A137" s="26" t="s">
        <v>66</v>
      </c>
      <c r="B137" s="27"/>
      <c r="C137" s="28">
        <v>1</v>
      </c>
      <c r="D137" s="29" t="s">
        <v>67</v>
      </c>
      <c r="E137" s="27"/>
      <c r="F137" s="27" t="s">
        <v>68</v>
      </c>
      <c r="G137" s="27"/>
      <c r="H137" s="27"/>
      <c r="I137" s="27"/>
      <c r="J137" s="30">
        <f>LN(2)/LN((C135-C133)/(C134-C133))</f>
        <v>2.570414640739261</v>
      </c>
      <c r="K137" s="27"/>
      <c r="L137" s="31"/>
      <c r="M137" s="31"/>
    </row>
    <row r="156" ht="15">
      <c r="C156">
        <v>0</v>
      </c>
    </row>
  </sheetData>
  <mergeCells count="8">
    <mergeCell ref="BD47:BF47"/>
    <mergeCell ref="A111:M111"/>
    <mergeCell ref="A1:I1"/>
    <mergeCell ref="AI1:AQ1"/>
    <mergeCell ref="A18:I18"/>
    <mergeCell ref="AI18:AQ18"/>
    <mergeCell ref="AQ47:AT47"/>
    <mergeCell ref="AW47:AY47"/>
  </mergeCells>
  <conditionalFormatting sqref="AT60:AT62">
    <cfRule type="cellIs" priority="5" dxfId="0" operator="lessThan">
      <formula>1</formula>
    </cfRule>
  </conditionalFormatting>
  <conditionalFormatting sqref="BG60:BG62">
    <cfRule type="cellIs" priority="4" dxfId="0" operator="lessThan">
      <formula>1</formula>
    </cfRule>
  </conditionalFormatting>
  <conditionalFormatting sqref="V47:V55">
    <cfRule type="cellIs" priority="3" dxfId="0" operator="lessThan">
      <formula>1</formula>
    </cfRule>
  </conditionalFormatting>
  <conditionalFormatting sqref="AT50:AT59">
    <cfRule type="cellIs" priority="2" dxfId="0" operator="lessThan">
      <formula>1</formula>
    </cfRule>
  </conditionalFormatting>
  <conditionalFormatting sqref="BG50:BG5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Wu</dc:creator>
  <cp:keywords/>
  <dc:description/>
  <cp:lastModifiedBy>Xiaoyu Zhi</cp:lastModifiedBy>
  <dcterms:created xsi:type="dcterms:W3CDTF">2020-08-19T04:55:43Z</dcterms:created>
  <dcterms:modified xsi:type="dcterms:W3CDTF">2021-10-27T00:09:51Z</dcterms:modified>
  <cp:category/>
  <cp:version/>
  <cp:contentType/>
  <cp:contentStatus/>
</cp:coreProperties>
</file>